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ccounts/Budgets/2021 Precept/Budget v actual/"/>
    </mc:Choice>
  </mc:AlternateContent>
  <xr:revisionPtr revIDLastSave="5" documentId="8_{9653C010-5C53-407E-B24D-B07315FC049E}" xr6:coauthVersionLast="47" xr6:coauthVersionMax="47" xr10:uidLastSave="{13B64EEC-4B53-470E-BE3D-7FEB540A059F}"/>
  <bookViews>
    <workbookView xWindow="-120" yWindow="-120" windowWidth="20730" windowHeight="11160" xr2:uid="{00000000-000D-0000-FFFF-FFFF00000000}"/>
  </bookViews>
  <sheets>
    <sheet name="2021-2022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3" l="1"/>
  <c r="U21" i="3" l="1"/>
  <c r="U20" i="3"/>
  <c r="U19" i="3"/>
  <c r="U18" i="3"/>
  <c r="U17" i="3"/>
  <c r="U70" i="3"/>
  <c r="V70" i="3"/>
  <c r="U48" i="3"/>
  <c r="U42" i="3"/>
  <c r="U39" i="3"/>
  <c r="U31" i="3"/>
  <c r="U16" i="3"/>
  <c r="V72" i="3"/>
  <c r="V74" i="3"/>
  <c r="V68" i="3"/>
  <c r="T58" i="3"/>
  <c r="S58" i="3"/>
  <c r="R58" i="3"/>
  <c r="Q58" i="3"/>
  <c r="P58" i="3"/>
  <c r="O58" i="3"/>
  <c r="N58" i="3"/>
  <c r="M58" i="3"/>
  <c r="L58" i="3"/>
  <c r="K58" i="3"/>
  <c r="J58" i="3"/>
  <c r="I58" i="3"/>
  <c r="U58" i="3"/>
  <c r="F57" i="3"/>
  <c r="C56" i="3"/>
  <c r="C59" i="3"/>
  <c r="F60" i="3"/>
  <c r="G60" i="3" s="1"/>
  <c r="R60" i="3"/>
  <c r="F58" i="3" l="1"/>
  <c r="G57" i="3"/>
  <c r="V57" i="3" s="1"/>
  <c r="V60" i="3"/>
  <c r="W60" i="3"/>
  <c r="H60" i="3"/>
  <c r="T32" i="3"/>
  <c r="T50" i="3"/>
  <c r="S50" i="3"/>
  <c r="R50" i="3"/>
  <c r="R32" i="3"/>
  <c r="S32" i="3"/>
  <c r="R14" i="3"/>
  <c r="Q50" i="3"/>
  <c r="Q32" i="3"/>
  <c r="Q22" i="3"/>
  <c r="Q21" i="3"/>
  <c r="Q18" i="3"/>
  <c r="Q17" i="3"/>
  <c r="Q14" i="3"/>
  <c r="G58" i="3" l="1"/>
  <c r="W58" i="3" s="1"/>
  <c r="H57" i="3"/>
  <c r="H58" i="3"/>
  <c r="W57" i="3"/>
  <c r="V58" i="3"/>
  <c r="Q23" i="3"/>
  <c r="U23" i="3"/>
  <c r="P50" i="3"/>
  <c r="P32" i="3"/>
  <c r="P23" i="3"/>
  <c r="O50" i="3" l="1"/>
  <c r="O32" i="3"/>
  <c r="O21" i="3"/>
  <c r="O17" i="3"/>
  <c r="O23" i="3" l="1"/>
  <c r="N32" i="3"/>
  <c r="M32" i="3" l="1"/>
  <c r="M14" i="3"/>
  <c r="L20" i="3" l="1"/>
  <c r="L19" i="3"/>
  <c r="L18" i="3"/>
  <c r="L32" i="3"/>
  <c r="K32" i="3" l="1"/>
  <c r="J31" i="3" l="1"/>
  <c r="J32" i="3"/>
  <c r="I50" i="3" l="1"/>
  <c r="I32" i="3"/>
  <c r="F53" i="3" l="1"/>
  <c r="G53" i="3" s="1"/>
  <c r="F54" i="3"/>
  <c r="G54" i="3" s="1"/>
  <c r="F52" i="3"/>
  <c r="G52" i="3" s="1"/>
  <c r="F47" i="3"/>
  <c r="G47" i="3" s="1"/>
  <c r="H47" i="3" s="1"/>
  <c r="F48" i="3"/>
  <c r="G48" i="3" s="1"/>
  <c r="H48" i="3" s="1"/>
  <c r="F49" i="3"/>
  <c r="G49" i="3" s="1"/>
  <c r="F46" i="3"/>
  <c r="G46" i="3" s="1"/>
  <c r="F43" i="3"/>
  <c r="G43" i="3" s="1"/>
  <c r="F42" i="3"/>
  <c r="G42" i="3" s="1"/>
  <c r="F39" i="3"/>
  <c r="G39" i="3" s="1"/>
  <c r="F38" i="3"/>
  <c r="G38" i="3" s="1"/>
  <c r="F35" i="3"/>
  <c r="G35" i="3" s="1"/>
  <c r="F34" i="3"/>
  <c r="G34" i="3" s="1"/>
  <c r="F29" i="3"/>
  <c r="G29" i="3" s="1"/>
  <c r="F30" i="3"/>
  <c r="G30" i="3" s="1"/>
  <c r="F31" i="3"/>
  <c r="F28" i="3"/>
  <c r="G28" i="3" s="1"/>
  <c r="F25" i="3"/>
  <c r="G25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14" i="3"/>
  <c r="G14" i="3" s="1"/>
  <c r="F6" i="3"/>
  <c r="G6" i="3" s="1"/>
  <c r="F5" i="3"/>
  <c r="G5" i="3" s="1"/>
  <c r="C45" i="3"/>
  <c r="C27" i="3"/>
  <c r="W18" i="3" l="1"/>
  <c r="V18" i="3"/>
  <c r="W29" i="3"/>
  <c r="V29" i="3"/>
  <c r="W53" i="3"/>
  <c r="V53" i="3"/>
  <c r="W21" i="3"/>
  <c r="V21" i="3"/>
  <c r="W28" i="3"/>
  <c r="V28" i="3"/>
  <c r="W20" i="3"/>
  <c r="V20" i="3"/>
  <c r="G31" i="3"/>
  <c r="W31" i="3" s="1"/>
  <c r="W19" i="3"/>
  <c r="V19" i="3"/>
  <c r="W15" i="3"/>
  <c r="V15" i="3"/>
  <c r="W30" i="3"/>
  <c r="V30" i="3"/>
  <c r="V46" i="3"/>
  <c r="W46" i="3"/>
  <c r="V47" i="3"/>
  <c r="W47" i="3"/>
  <c r="F32" i="3"/>
  <c r="V52" i="3"/>
  <c r="W52" i="3"/>
  <c r="F50" i="3"/>
  <c r="G50" i="3"/>
  <c r="H49" i="3"/>
  <c r="V49" i="3"/>
  <c r="W49" i="3"/>
  <c r="V39" i="3"/>
  <c r="W39" i="3"/>
  <c r="V31" i="3"/>
  <c r="V25" i="3"/>
  <c r="W25" i="3"/>
  <c r="W22" i="3"/>
  <c r="V22" i="3"/>
  <c r="V17" i="3"/>
  <c r="W17" i="3"/>
  <c r="I7" i="3"/>
  <c r="J7" i="3"/>
  <c r="K7" i="3"/>
  <c r="L7" i="3"/>
  <c r="M7" i="3"/>
  <c r="N7" i="3"/>
  <c r="O7" i="3"/>
  <c r="P7" i="3"/>
  <c r="Q7" i="3"/>
  <c r="H53" i="3"/>
  <c r="H54" i="3"/>
  <c r="H52" i="3"/>
  <c r="J50" i="3"/>
  <c r="K50" i="3"/>
  <c r="L50" i="3"/>
  <c r="M50" i="3"/>
  <c r="N50" i="3"/>
  <c r="H43" i="3"/>
  <c r="H42" i="3"/>
  <c r="I36" i="3"/>
  <c r="J36" i="3"/>
  <c r="K36" i="3"/>
  <c r="L36" i="3"/>
  <c r="M36" i="3"/>
  <c r="N36" i="3"/>
  <c r="O36" i="3"/>
  <c r="P36" i="3"/>
  <c r="Q36" i="3"/>
  <c r="H35" i="3"/>
  <c r="H30" i="3"/>
  <c r="H29" i="3"/>
  <c r="G26" i="3"/>
  <c r="H22" i="3"/>
  <c r="H20" i="3"/>
  <c r="H19" i="3"/>
  <c r="H18" i="3"/>
  <c r="H15" i="3"/>
  <c r="T61" i="3"/>
  <c r="T55" i="3"/>
  <c r="U54" i="3"/>
  <c r="V54" i="3" s="1"/>
  <c r="T44" i="3"/>
  <c r="U43" i="3"/>
  <c r="W43" i="3" s="1"/>
  <c r="V42" i="3"/>
  <c r="T40" i="3"/>
  <c r="T36" i="3"/>
  <c r="W35" i="3"/>
  <c r="U34" i="3"/>
  <c r="W34" i="3" s="1"/>
  <c r="T26" i="3"/>
  <c r="T23" i="3"/>
  <c r="T7" i="3"/>
  <c r="W42" i="3" l="1"/>
  <c r="V34" i="3"/>
  <c r="V35" i="3"/>
  <c r="G32" i="3"/>
  <c r="W54" i="3"/>
  <c r="V43" i="3"/>
  <c r="V48" i="3"/>
  <c r="W48" i="3"/>
  <c r="W38" i="3"/>
  <c r="V38" i="3"/>
  <c r="V16" i="3"/>
  <c r="W16" i="3"/>
  <c r="T63" i="3"/>
  <c r="W5" i="3"/>
  <c r="V5" i="3"/>
  <c r="U32" i="3"/>
  <c r="U50" i="3"/>
  <c r="W6" i="3"/>
  <c r="V6" i="3"/>
  <c r="V32" i="3"/>
  <c r="G36" i="3"/>
  <c r="G7" i="3"/>
  <c r="H7" i="3"/>
  <c r="H55" i="3"/>
  <c r="H44" i="3"/>
  <c r="H25" i="3"/>
  <c r="G55" i="3"/>
  <c r="G44" i="3"/>
  <c r="H34" i="3"/>
  <c r="S44" i="3"/>
  <c r="S61" i="3"/>
  <c r="S55" i="3"/>
  <c r="S40" i="3"/>
  <c r="S36" i="3"/>
  <c r="S26" i="3"/>
  <c r="S23" i="3"/>
  <c r="S7" i="3"/>
  <c r="W50" i="3" l="1"/>
  <c r="V50" i="3"/>
  <c r="V44" i="3"/>
  <c r="H36" i="3"/>
  <c r="H26" i="3"/>
  <c r="S63" i="3"/>
  <c r="H17" i="3"/>
  <c r="H21" i="3"/>
  <c r="H16" i="3"/>
  <c r="R23" i="3"/>
  <c r="R61" i="3"/>
  <c r="R55" i="3"/>
  <c r="R44" i="3"/>
  <c r="R40" i="3"/>
  <c r="R36" i="3"/>
  <c r="R26" i="3"/>
  <c r="R7" i="3"/>
  <c r="H46" i="3" l="1"/>
  <c r="H28" i="3"/>
  <c r="G23" i="3"/>
  <c r="H14" i="3"/>
  <c r="G61" i="3"/>
  <c r="H39" i="3"/>
  <c r="G40" i="3"/>
  <c r="Q61" i="3"/>
  <c r="Q55" i="3"/>
  <c r="Q44" i="3"/>
  <c r="Q40" i="3"/>
  <c r="Q26" i="3"/>
  <c r="G63" i="3" l="1"/>
  <c r="Q63" i="3"/>
  <c r="H23" i="3"/>
  <c r="H50" i="3"/>
  <c r="H32" i="3"/>
  <c r="H40" i="3"/>
  <c r="H61" i="3"/>
  <c r="P61" i="3"/>
  <c r="P55" i="3"/>
  <c r="P44" i="3"/>
  <c r="P40" i="3"/>
  <c r="P26" i="3"/>
  <c r="H63" i="3" l="1"/>
  <c r="P63" i="3"/>
  <c r="O61" i="3"/>
  <c r="O55" i="3"/>
  <c r="O44" i="3"/>
  <c r="O40" i="3"/>
  <c r="O26" i="3"/>
  <c r="O63" i="3" l="1"/>
  <c r="N61" i="3"/>
  <c r="N55" i="3"/>
  <c r="N44" i="3"/>
  <c r="N40" i="3"/>
  <c r="N26" i="3"/>
  <c r="N23" i="3"/>
  <c r="N63" i="3" l="1"/>
  <c r="M61" i="3"/>
  <c r="M55" i="3"/>
  <c r="M44" i="3"/>
  <c r="M40" i="3"/>
  <c r="M26" i="3"/>
  <c r="M23" i="3"/>
  <c r="M63" i="3" l="1"/>
  <c r="W32" i="3"/>
  <c r="L61" i="3"/>
  <c r="L55" i="3"/>
  <c r="L44" i="3"/>
  <c r="L40" i="3"/>
  <c r="L26" i="3"/>
  <c r="F7" i="3"/>
  <c r="W14" i="3" l="1"/>
  <c r="V14" i="3"/>
  <c r="V23" i="3" s="1"/>
  <c r="W23" i="3"/>
  <c r="C7" i="3"/>
  <c r="L23" i="3"/>
  <c r="L63" i="3" s="1"/>
  <c r="V7" i="3"/>
  <c r="U7" i="3"/>
  <c r="W7" i="3" s="1"/>
  <c r="U44" i="3"/>
  <c r="W44" i="3" s="1"/>
  <c r="U26" i="3"/>
  <c r="K55" i="3"/>
  <c r="K44" i="3"/>
  <c r="K40" i="3"/>
  <c r="U40" i="3"/>
  <c r="W40" i="3" s="1"/>
  <c r="K26" i="3"/>
  <c r="K23" i="3"/>
  <c r="K61" i="3"/>
  <c r="I61" i="3"/>
  <c r="J61" i="3"/>
  <c r="F44" i="3"/>
  <c r="F61" i="3"/>
  <c r="C41" i="3"/>
  <c r="F23" i="3"/>
  <c r="W26" i="3" l="1"/>
  <c r="K63" i="3"/>
  <c r="U61" i="3"/>
  <c r="J55" i="3"/>
  <c r="J44" i="3"/>
  <c r="J40" i="3"/>
  <c r="J26" i="3"/>
  <c r="J23" i="3"/>
  <c r="F55" i="3"/>
  <c r="F40" i="3"/>
  <c r="F36" i="3"/>
  <c r="F26" i="3"/>
  <c r="F63" i="3" s="1"/>
  <c r="J63" i="3" l="1"/>
  <c r="W61" i="3"/>
  <c r="U55" i="3"/>
  <c r="W55" i="3" s="1"/>
  <c r="V61" i="3"/>
  <c r="V36" i="3"/>
  <c r="U36" i="3"/>
  <c r="W36" i="3" l="1"/>
  <c r="U63" i="3"/>
  <c r="W63" i="3" s="1"/>
  <c r="V40" i="3"/>
  <c r="V55" i="3"/>
  <c r="V26" i="3"/>
  <c r="I55" i="3"/>
  <c r="I40" i="3"/>
  <c r="V63" i="3" l="1"/>
  <c r="C33" i="3"/>
  <c r="I44" i="3" l="1"/>
  <c r="C37" i="3"/>
  <c r="I26" i="3"/>
  <c r="C24" i="3"/>
  <c r="C51" i="3"/>
  <c r="C13" i="3" l="1"/>
  <c r="C63" i="3" s="1"/>
  <c r="I23" i="3" l="1"/>
  <c r="I63" i="3" s="1"/>
  <c r="R63" i="3" l="1"/>
</calcChain>
</file>

<file path=xl/sharedStrings.xml><?xml version="1.0" encoding="utf-8"?>
<sst xmlns="http://schemas.openxmlformats.org/spreadsheetml/2006/main" count="261" uniqueCount="184">
  <si>
    <t>Agreed</t>
  </si>
  <si>
    <t>Proposed</t>
  </si>
  <si>
    <t>Receipts</t>
  </si>
  <si>
    <t>Open spaces</t>
  </si>
  <si>
    <t>mowing</t>
  </si>
  <si>
    <t>KABFC</t>
  </si>
  <si>
    <t>B Legion</t>
  </si>
  <si>
    <t>Adcraft</t>
  </si>
  <si>
    <t>KPSA</t>
  </si>
  <si>
    <t>other</t>
  </si>
  <si>
    <t>donations</t>
  </si>
  <si>
    <t>precept</t>
  </si>
  <si>
    <t>BY charity</t>
  </si>
  <si>
    <t>Totals</t>
  </si>
  <si>
    <t>vat</t>
  </si>
  <si>
    <t>Payments</t>
  </si>
  <si>
    <t>lengthman</t>
  </si>
  <si>
    <t>ins</t>
  </si>
  <si>
    <t>swings</t>
  </si>
  <si>
    <t>weed spray</t>
  </si>
  <si>
    <t xml:space="preserve"> green electric</t>
  </si>
  <si>
    <t>rent</t>
  </si>
  <si>
    <t>rates WODC</t>
  </si>
  <si>
    <t>meter</t>
  </si>
  <si>
    <t>rates TW</t>
  </si>
  <si>
    <t>electric</t>
  </si>
  <si>
    <t>Farmers market</t>
  </si>
  <si>
    <t>repairs</t>
  </si>
  <si>
    <t>100 club</t>
  </si>
  <si>
    <t>all</t>
  </si>
  <si>
    <t>misc/bank int</t>
  </si>
  <si>
    <t>car park - posts</t>
  </si>
  <si>
    <t>play area - bark</t>
  </si>
  <si>
    <t>projects - village</t>
  </si>
  <si>
    <t>Bank</t>
  </si>
  <si>
    <t>Actual</t>
  </si>
  <si>
    <t>heydens field rent</t>
  </si>
  <si>
    <t>add Income</t>
  </si>
  <si>
    <t>less expenditure</t>
  </si>
  <si>
    <t>Total</t>
  </si>
  <si>
    <t>clerks wage</t>
  </si>
  <si>
    <t>VH help</t>
  </si>
  <si>
    <t xml:space="preserve">  </t>
  </si>
  <si>
    <t>music</t>
  </si>
  <si>
    <t>(Electric works,drain repair,painting,outside lights)</t>
  </si>
  <si>
    <t>VH Expenses</t>
  </si>
  <si>
    <t>VH Totals</t>
  </si>
  <si>
    <t xml:space="preserve">plus PC help Funds </t>
  </si>
  <si>
    <t>Income</t>
  </si>
  <si>
    <t>Expenses</t>
  </si>
  <si>
    <t>Heydens field rent</t>
  </si>
  <si>
    <t>2014-2015</t>
  </si>
  <si>
    <t>(Oct 14 seek another rental?)</t>
  </si>
  <si>
    <t>(clerk now paid at approp level)</t>
  </si>
  <si>
    <t>(matting,concrete)</t>
  </si>
  <si>
    <t>PC acct balance 27.02.2015 - £35,002.86</t>
  </si>
  <si>
    <t>electric line rental</t>
  </si>
  <si>
    <t>extra costs</t>
  </si>
  <si>
    <t>misc-fees and subs/donations</t>
  </si>
  <si>
    <t>other admin</t>
  </si>
  <si>
    <t>(printing, external auditor, internal auditor gift, stationary)</t>
  </si>
  <si>
    <t>VAT</t>
  </si>
  <si>
    <t>Cleaner</t>
  </si>
  <si>
    <t xml:space="preserve">Budget monitoring Feb 2015 </t>
  </si>
  <si>
    <t>Grant</t>
  </si>
  <si>
    <t>? Upkeep needed</t>
  </si>
  <si>
    <t>2015-2016</t>
  </si>
  <si>
    <t>(notice given 50% decrease)</t>
  </si>
  <si>
    <t xml:space="preserve">? </t>
  </si>
  <si>
    <t>?</t>
  </si>
  <si>
    <t>(Village Car Park Sign and installation</t>
  </si>
  <si>
    <t>(vote from Villagers- Village Hall upgrade)</t>
  </si>
  <si>
    <t>(including 100 club and Cotswold table reimburse donations)</t>
  </si>
  <si>
    <t>(Village Consultant for planning)</t>
  </si>
  <si>
    <t>(printing, external auditor, internal augitor, stationary)</t>
  </si>
  <si>
    <t>(bark?)</t>
  </si>
  <si>
    <t>(replacement matting)</t>
  </si>
  <si>
    <t>PC proposed budget</t>
  </si>
  <si>
    <t>(donation</t>
  </si>
  <si>
    <t>replacement posts carpark)</t>
  </si>
  <si>
    <t>pav hire</t>
  </si>
  <si>
    <t>table tennis</t>
  </si>
  <si>
    <t xml:space="preserve">landscape </t>
  </si>
  <si>
    <t>140 - Jan/Feb heydens field rental</t>
  </si>
  <si>
    <t>208 &amp;</t>
  </si>
  <si>
    <t>map &amp;</t>
  </si>
  <si>
    <t>landscape app</t>
  </si>
  <si>
    <t>(whirlygig)</t>
  </si>
  <si>
    <t>(noticeboard,instal,hinges)</t>
  </si>
  <si>
    <t>(vote frm vgers - footpath)</t>
  </si>
  <si>
    <t>footpath</t>
  </si>
  <si>
    <t>millenium wood</t>
  </si>
  <si>
    <t>ash die back</t>
  </si>
  <si>
    <t>molecatcher</t>
  </si>
  <si>
    <t>until Feb 16</t>
  </si>
  <si>
    <t>&amp; 250 Cots table VH</t>
  </si>
  <si>
    <t>2016-2017</t>
  </si>
  <si>
    <t>500?</t>
  </si>
  <si>
    <t>Feb 2016 - proposed</t>
  </si>
  <si>
    <t xml:space="preserve">PC proposed budget </t>
  </si>
  <si>
    <t>bank</t>
  </si>
  <si>
    <t>add income</t>
  </si>
  <si>
    <t>PC acct Balance 29.01.2016 - £27714.24</t>
  </si>
  <si>
    <t>VH acct Balance 29.01.2016 - £1173.43</t>
  </si>
  <si>
    <t>VH Income - as at 20.01.16</t>
  </si>
  <si>
    <t>Kingham Budget 2016-2017</t>
  </si>
  <si>
    <t>inc hedge trim &amp;heydens field</t>
  </si>
  <si>
    <t>100 Club prizes £800</t>
  </si>
  <si>
    <t>(health and safety- RosPa)</t>
  </si>
  <si>
    <t>TOTAL</t>
  </si>
  <si>
    <t>April</t>
  </si>
  <si>
    <t>May</t>
  </si>
  <si>
    <t>Clerk employment</t>
  </si>
  <si>
    <t>Salary</t>
  </si>
  <si>
    <t>Employer's liability</t>
  </si>
  <si>
    <t>Office consumables</t>
  </si>
  <si>
    <t>Training</t>
  </si>
  <si>
    <t>Parish maintenance</t>
  </si>
  <si>
    <t>Playground inspection</t>
  </si>
  <si>
    <t>Accounts</t>
  </si>
  <si>
    <t>Internal auditor</t>
  </si>
  <si>
    <t>Administration</t>
  </si>
  <si>
    <t>Publications</t>
  </si>
  <si>
    <t>Subscriptions</t>
  </si>
  <si>
    <t>OALC</t>
  </si>
  <si>
    <t>SLCC</t>
  </si>
  <si>
    <t>Website</t>
  </si>
  <si>
    <t>Domain registration</t>
  </si>
  <si>
    <t>Contingency</t>
  </si>
  <si>
    <t>PAYMENTS</t>
  </si>
  <si>
    <t>RECEIPTS</t>
  </si>
  <si>
    <t>Bank interest</t>
  </si>
  <si>
    <t>Parish Council insurance</t>
  </si>
  <si>
    <t>ICO registration</t>
  </si>
  <si>
    <t>Budget</t>
  </si>
  <si>
    <t>Website hosting</t>
  </si>
  <si>
    <t>Remaining</t>
  </si>
  <si>
    <t>Annual</t>
  </si>
  <si>
    <t>Balance</t>
  </si>
  <si>
    <t>to date %</t>
  </si>
  <si>
    <t>Net figures</t>
  </si>
  <si>
    <t>June</t>
  </si>
  <si>
    <t>Payroll</t>
  </si>
  <si>
    <t>Use of home premises</t>
  </si>
  <si>
    <t>Phone/internet</t>
  </si>
  <si>
    <t>Use of home equipment</t>
  </si>
  <si>
    <t>Mileage</t>
  </si>
  <si>
    <t>Playground rent</t>
  </si>
  <si>
    <t>Clerk salary</t>
  </si>
  <si>
    <t>Assets</t>
  </si>
  <si>
    <t>Repair/maintenance of existing assets</t>
  </si>
  <si>
    <t>Purchase of additional assets</t>
  </si>
  <si>
    <t>Provision for future replacement of assets</t>
  </si>
  <si>
    <t>Hire</t>
  </si>
  <si>
    <t>Memorial Hall - Council meetings</t>
  </si>
  <si>
    <t>Memorial Hall - other meetings</t>
  </si>
  <si>
    <t>July</t>
  </si>
  <si>
    <t>Precept</t>
  </si>
  <si>
    <t>receipts</t>
  </si>
  <si>
    <t xml:space="preserve">Receipts </t>
  </si>
  <si>
    <t>remaining</t>
  </si>
  <si>
    <t>August</t>
  </si>
  <si>
    <t>September</t>
  </si>
  <si>
    <t>October</t>
  </si>
  <si>
    <t>November</t>
  </si>
  <si>
    <t>December</t>
  </si>
  <si>
    <t>January</t>
  </si>
  <si>
    <t xml:space="preserve">Revised </t>
  </si>
  <si>
    <t>February</t>
  </si>
  <si>
    <t>March</t>
  </si>
  <si>
    <t>Revised</t>
  </si>
  <si>
    <t>Software subscriptions</t>
  </si>
  <si>
    <t>Dog bin waste collection</t>
  </si>
  <si>
    <t>Virement</t>
  </si>
  <si>
    <t>Virements</t>
  </si>
  <si>
    <t>Projects</t>
  </si>
  <si>
    <t>Community projects and events</t>
  </si>
  <si>
    <t>Earmarked Reserves</t>
  </si>
  <si>
    <t>Playground refurbishment</t>
  </si>
  <si>
    <t>Bin collection - Spelsbury</t>
  </si>
  <si>
    <t>Dog  waste bin - Spelsbury</t>
  </si>
  <si>
    <t>Memorial Hall - meeting hall hire</t>
  </si>
  <si>
    <t>Use of reserves</t>
  </si>
  <si>
    <t>Unity bank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</si>
</sst>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wrapText="1"/>
    </xf>
    <xf numFmtId="3" fontId="0" fillId="3" borderId="0" xfId="0" applyNumberFormat="1" applyFill="1"/>
    <xf numFmtId="0" fontId="0" fillId="4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1" fillId="0" borderId="3" xfId="0" applyNumberFormat="1" applyFont="1" applyBorder="1"/>
    <xf numFmtId="0" fontId="0" fillId="0" borderId="4" xfId="0" applyBorder="1"/>
    <xf numFmtId="2" fontId="0" fillId="0" borderId="4" xfId="0" applyNumberForma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2" fontId="0" fillId="0" borderId="5" xfId="0" applyNumberFormat="1" applyBorder="1"/>
    <xf numFmtId="0" fontId="0" fillId="0" borderId="0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5" borderId="1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" fontId="0" fillId="5" borderId="0" xfId="0" applyNumberFormat="1" applyFill="1" applyBorder="1"/>
    <xf numFmtId="0" fontId="0" fillId="5" borderId="0" xfId="0" applyFill="1" applyBorder="1"/>
    <xf numFmtId="2" fontId="0" fillId="0" borderId="1" xfId="0" applyNumberFormat="1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2" fontId="1" fillId="0" borderId="1" xfId="0" applyNumberFormat="1" applyFont="1" applyFill="1" applyBorder="1"/>
    <xf numFmtId="1" fontId="1" fillId="0" borderId="6" xfId="0" applyNumberFormat="1" applyFont="1" applyBorder="1"/>
    <xf numFmtId="1" fontId="0" fillId="0" borderId="1" xfId="0" applyNumberFormat="1" applyFill="1" applyBorder="1" applyAlignment="1">
      <alignment horizontal="right"/>
    </xf>
    <xf numFmtId="9" fontId="0" fillId="5" borderId="1" xfId="1" applyFont="1" applyFill="1" applyBorder="1"/>
    <xf numFmtId="9" fontId="0" fillId="5" borderId="0" xfId="1" applyFont="1" applyFill="1" applyBorder="1"/>
    <xf numFmtId="2" fontId="1" fillId="0" borderId="0" xfId="0" applyNumberFormat="1" applyFont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 applyFont="1"/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2" fontId="0" fillId="6" borderId="1" xfId="0" applyNumberFormat="1" applyFill="1" applyBorder="1"/>
    <xf numFmtId="2" fontId="1" fillId="6" borderId="3" xfId="0" applyNumberFormat="1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2" fontId="1" fillId="6" borderId="0" xfId="0" applyNumberFormat="1" applyFont="1" applyFill="1"/>
    <xf numFmtId="0" fontId="0" fillId="7" borderId="1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2" fontId="0" fillId="7" borderId="1" xfId="0" applyNumberFormat="1" applyFill="1" applyBorder="1"/>
    <xf numFmtId="2" fontId="1" fillId="7" borderId="3" xfId="0" applyNumberFormat="1" applyFont="1" applyFill="1" applyBorder="1"/>
    <xf numFmtId="0" fontId="0" fillId="7" borderId="0" xfId="0" applyFill="1" applyBorder="1"/>
    <xf numFmtId="2" fontId="0" fillId="7" borderId="0" xfId="0" applyNumberFormat="1" applyFill="1" applyBorder="1"/>
    <xf numFmtId="2" fontId="0" fillId="7" borderId="2" xfId="0" applyNumberFormat="1" applyFill="1" applyBorder="1"/>
    <xf numFmtId="0" fontId="0" fillId="7" borderId="0" xfId="0" applyFill="1"/>
    <xf numFmtId="2" fontId="1" fillId="7" borderId="0" xfId="0" applyNumberFormat="1" applyFont="1" applyFill="1"/>
    <xf numFmtId="9" fontId="1" fillId="5" borderId="3" xfId="1" applyFont="1" applyFill="1" applyBorder="1"/>
    <xf numFmtId="9" fontId="1" fillId="5" borderId="0" xfId="1" applyFont="1" applyFill="1"/>
    <xf numFmtId="1" fontId="0" fillId="8" borderId="1" xfId="0" applyNumberFormat="1" applyFill="1" applyBorder="1" applyAlignment="1">
      <alignment horizontal="right"/>
    </xf>
    <xf numFmtId="1" fontId="0" fillId="8" borderId="1" xfId="0" applyNumberFormat="1" applyFill="1" applyBorder="1"/>
    <xf numFmtId="2" fontId="0" fillId="8" borderId="1" xfId="0" applyNumberFormat="1" applyFill="1" applyBorder="1"/>
    <xf numFmtId="2" fontId="0" fillId="8" borderId="2" xfId="0" applyNumberFormat="1" applyFill="1" applyBorder="1"/>
    <xf numFmtId="2" fontId="1" fillId="8" borderId="3" xfId="0" applyNumberFormat="1" applyFont="1" applyFill="1" applyBorder="1"/>
    <xf numFmtId="1" fontId="0" fillId="8" borderId="4" xfId="0" applyNumberFormat="1" applyFill="1" applyBorder="1"/>
    <xf numFmtId="2" fontId="0" fillId="8" borderId="4" xfId="0" applyNumberFormat="1" applyFill="1" applyBorder="1"/>
    <xf numFmtId="1" fontId="0" fillId="8" borderId="5" xfId="0" applyNumberFormat="1" applyFill="1" applyBorder="1"/>
    <xf numFmtId="1" fontId="0" fillId="8" borderId="0" xfId="0" applyNumberFormat="1" applyFill="1" applyBorder="1"/>
    <xf numFmtId="2" fontId="1" fillId="8" borderId="0" xfId="0" applyNumberFormat="1" applyFont="1" applyFill="1"/>
    <xf numFmtId="0" fontId="0" fillId="8" borderId="1" xfId="0" applyFill="1" applyBorder="1"/>
    <xf numFmtId="1" fontId="1" fillId="8" borderId="1" xfId="0" applyNumberFormat="1" applyFont="1" applyFill="1" applyBorder="1"/>
    <xf numFmtId="2" fontId="1" fillId="7" borderId="1" xfId="0" applyNumberFormat="1" applyFont="1" applyFill="1" applyBorder="1"/>
    <xf numFmtId="2" fontId="0" fillId="9" borderId="1" xfId="0" applyNumberFormat="1" applyFill="1" applyBorder="1"/>
    <xf numFmtId="2" fontId="1" fillId="9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2" fillId="0" borderId="0" xfId="0" applyFont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1" fillId="8" borderId="0" xfId="0" applyNumberFormat="1" applyFont="1" applyFill="1" applyBorder="1"/>
    <xf numFmtId="2" fontId="1" fillId="0" borderId="0" xfId="0" applyNumberFormat="1" applyFont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9" fontId="1" fillId="5" borderId="0" xfId="1" applyFont="1" applyFill="1" applyBorder="1"/>
    <xf numFmtId="9" fontId="1" fillId="5" borderId="1" xfId="1" applyFont="1" applyFill="1" applyBorder="1"/>
    <xf numFmtId="2" fontId="6" fillId="7" borderId="1" xfId="0" applyNumberFormat="1" applyFont="1" applyFill="1" applyBorder="1"/>
    <xf numFmtId="2" fontId="6" fillId="7" borderId="2" xfId="0" applyNumberFormat="1" applyFont="1" applyFill="1" applyBorder="1"/>
    <xf numFmtId="4" fontId="0" fillId="0" borderId="0" xfId="0" applyNumberFormat="1"/>
    <xf numFmtId="0" fontId="7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0"/>
  <sheetViews>
    <sheetView tabSelected="1" topLeftCell="A13" zoomScaleNormal="100" zoomScalePageLayoutView="90" workbookViewId="0">
      <pane ySplit="2100" activePane="bottomLeft"/>
      <selection activeCell="G10" sqref="G1:G1048576"/>
      <selection pane="bottomLeft" activeCell="B80" sqref="B80"/>
    </sheetView>
  </sheetViews>
  <sheetFormatPr defaultRowHeight="15" x14ac:dyDescent="0.25"/>
  <cols>
    <col min="1" max="1" width="13" customWidth="1"/>
    <col min="2" max="2" width="29.85546875" bestFit="1" customWidth="1"/>
    <col min="3" max="3" width="11.7109375" bestFit="1" customWidth="1"/>
    <col min="4" max="4" width="12.28515625" customWidth="1"/>
    <col min="5" max="5" width="9.28515625" bestFit="1" customWidth="1"/>
    <col min="6" max="6" width="9.140625" bestFit="1" customWidth="1"/>
    <col min="7" max="7" width="10.140625" hidden="1" customWidth="1"/>
    <col min="8" max="8" width="8.28515625" hidden="1" customWidth="1"/>
    <col min="9" max="20" width="11.85546875" hidden="1" customWidth="1"/>
    <col min="21" max="21" width="11.85546875" customWidth="1"/>
    <col min="22" max="22" width="10.42578125" bestFit="1" customWidth="1"/>
    <col min="23" max="23" width="12.28515625" bestFit="1" customWidth="1"/>
  </cols>
  <sheetData>
    <row r="2" spans="1:27" x14ac:dyDescent="0.25">
      <c r="A2" t="s">
        <v>130</v>
      </c>
    </row>
    <row r="3" spans="1:27" x14ac:dyDescent="0.25">
      <c r="F3" s="91" t="s">
        <v>137</v>
      </c>
      <c r="G3" s="91" t="s">
        <v>137</v>
      </c>
      <c r="H3" s="91" t="s">
        <v>137</v>
      </c>
      <c r="I3" s="13" t="s">
        <v>110</v>
      </c>
      <c r="J3" s="13" t="s">
        <v>111</v>
      </c>
      <c r="K3" s="13" t="s">
        <v>141</v>
      </c>
      <c r="L3" s="13" t="s">
        <v>156</v>
      </c>
      <c r="M3" s="13" t="s">
        <v>161</v>
      </c>
      <c r="N3" s="13" t="s">
        <v>162</v>
      </c>
      <c r="O3" s="13" t="s">
        <v>163</v>
      </c>
      <c r="P3" s="13" t="s">
        <v>164</v>
      </c>
      <c r="Q3" s="13" t="s">
        <v>165</v>
      </c>
      <c r="R3" s="13" t="s">
        <v>166</v>
      </c>
      <c r="S3" s="13" t="s">
        <v>168</v>
      </c>
      <c r="T3" s="13" t="s">
        <v>169</v>
      </c>
      <c r="U3" s="63" t="s">
        <v>39</v>
      </c>
      <c r="V3" s="92" t="s">
        <v>2</v>
      </c>
      <c r="W3" s="38" t="s">
        <v>159</v>
      </c>
    </row>
    <row r="4" spans="1:27" x14ac:dyDescent="0.25">
      <c r="F4" s="91" t="s">
        <v>158</v>
      </c>
      <c r="G4" s="91" t="s">
        <v>158</v>
      </c>
      <c r="H4" s="91" t="s">
        <v>158</v>
      </c>
      <c r="I4" s="13" t="s">
        <v>158</v>
      </c>
      <c r="J4" s="13" t="s">
        <v>158</v>
      </c>
      <c r="K4" s="13" t="s">
        <v>158</v>
      </c>
      <c r="L4" s="13" t="s">
        <v>158</v>
      </c>
      <c r="M4" s="13" t="s">
        <v>158</v>
      </c>
      <c r="N4" s="13" t="s">
        <v>158</v>
      </c>
      <c r="O4" s="13" t="s">
        <v>158</v>
      </c>
      <c r="P4" s="13" t="s">
        <v>158</v>
      </c>
      <c r="Q4" s="13" t="s">
        <v>158</v>
      </c>
      <c r="R4" s="13" t="s">
        <v>158</v>
      </c>
      <c r="S4" s="13" t="s">
        <v>158</v>
      </c>
      <c r="T4" s="13" t="s">
        <v>158</v>
      </c>
      <c r="U4" s="63" t="s">
        <v>158</v>
      </c>
      <c r="V4" s="92" t="s">
        <v>160</v>
      </c>
      <c r="W4" s="38" t="s">
        <v>139</v>
      </c>
    </row>
    <row r="5" spans="1:27" x14ac:dyDescent="0.25">
      <c r="A5" s="15"/>
      <c r="B5" s="15" t="s">
        <v>157</v>
      </c>
      <c r="C5" s="12">
        <v>7833</v>
      </c>
      <c r="E5" s="32"/>
      <c r="F5" s="84">
        <f>C5</f>
        <v>7833</v>
      </c>
      <c r="G5" s="84">
        <f>F5</f>
        <v>7833</v>
      </c>
      <c r="H5" s="91">
        <v>0</v>
      </c>
      <c r="I5" s="89">
        <v>3359</v>
      </c>
      <c r="J5" s="89">
        <v>0</v>
      </c>
      <c r="K5" s="89">
        <v>0</v>
      </c>
      <c r="L5" s="89">
        <v>0</v>
      </c>
      <c r="M5" s="89">
        <v>0</v>
      </c>
      <c r="N5" s="89">
        <v>3359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65">
        <v>3916.5</v>
      </c>
      <c r="V5" s="87">
        <f>F5-U5</f>
        <v>3916.5</v>
      </c>
      <c r="W5" s="48">
        <f>U5/F5</f>
        <v>0.5</v>
      </c>
    </row>
    <row r="6" spans="1:27" x14ac:dyDescent="0.25">
      <c r="A6" s="15"/>
      <c r="B6" s="15" t="s">
        <v>131</v>
      </c>
      <c r="C6" s="27">
        <v>0</v>
      </c>
      <c r="E6" s="33"/>
      <c r="F6" s="84">
        <f t="shared" ref="F6" si="0">C6</f>
        <v>0</v>
      </c>
      <c r="G6" s="84">
        <f t="shared" ref="G6" si="1">F6</f>
        <v>0</v>
      </c>
      <c r="H6" s="91">
        <v>0</v>
      </c>
      <c r="I6" s="89">
        <v>0</v>
      </c>
      <c r="J6" s="89">
        <v>0</v>
      </c>
      <c r="K6" s="89">
        <v>1.29</v>
      </c>
      <c r="L6" s="89">
        <v>0</v>
      </c>
      <c r="M6" s="89">
        <v>0</v>
      </c>
      <c r="N6" s="89">
        <v>0.67</v>
      </c>
      <c r="O6" s="89">
        <v>0</v>
      </c>
      <c r="P6" s="89">
        <v>0</v>
      </c>
      <c r="Q6" s="89">
        <v>0.12</v>
      </c>
      <c r="R6" s="89">
        <v>0</v>
      </c>
      <c r="S6" s="89">
        <v>0</v>
      </c>
      <c r="T6" s="89">
        <v>0.12</v>
      </c>
      <c r="U6" s="65">
        <v>0.12</v>
      </c>
      <c r="V6" s="87">
        <f t="shared" ref="V6" si="2">F6-U6</f>
        <v>-0.12</v>
      </c>
      <c r="W6" s="48" t="e">
        <f t="shared" ref="W6" si="3">U6/F6</f>
        <v>#DIV/0!</v>
      </c>
    </row>
    <row r="7" spans="1:27" x14ac:dyDescent="0.25">
      <c r="A7" s="15"/>
      <c r="B7" s="24" t="s">
        <v>109</v>
      </c>
      <c r="C7" s="26">
        <f>SUM(C5:C6)</f>
        <v>7833</v>
      </c>
      <c r="E7" s="33"/>
      <c r="F7" s="85">
        <f t="shared" ref="F7:V7" si="4">SUM(F5:F6)</f>
        <v>7833</v>
      </c>
      <c r="G7" s="85">
        <f t="shared" si="4"/>
        <v>7833</v>
      </c>
      <c r="H7" s="85">
        <f t="shared" si="4"/>
        <v>0</v>
      </c>
      <c r="I7" s="45">
        <f t="shared" si="4"/>
        <v>3359</v>
      </c>
      <c r="J7" s="45">
        <f t="shared" si="4"/>
        <v>0</v>
      </c>
      <c r="K7" s="45">
        <f t="shared" si="4"/>
        <v>1.29</v>
      </c>
      <c r="L7" s="45">
        <f t="shared" si="4"/>
        <v>0</v>
      </c>
      <c r="M7" s="45">
        <f t="shared" si="4"/>
        <v>0</v>
      </c>
      <c r="N7" s="45">
        <f t="shared" si="4"/>
        <v>3359.67</v>
      </c>
      <c r="O7" s="45">
        <f t="shared" si="4"/>
        <v>0</v>
      </c>
      <c r="P7" s="45">
        <f t="shared" si="4"/>
        <v>0</v>
      </c>
      <c r="Q7" s="45">
        <f t="shared" si="4"/>
        <v>0.12</v>
      </c>
      <c r="R7" s="90">
        <f t="shared" si="4"/>
        <v>0</v>
      </c>
      <c r="S7" s="90">
        <f t="shared" si="4"/>
        <v>0</v>
      </c>
      <c r="T7" s="90">
        <f t="shared" si="4"/>
        <v>0.12</v>
      </c>
      <c r="U7" s="86">
        <f t="shared" si="4"/>
        <v>3916.62</v>
      </c>
      <c r="V7" s="88">
        <f t="shared" si="4"/>
        <v>3916.38</v>
      </c>
      <c r="W7" s="101">
        <f>U7/F7</f>
        <v>0.50001531980084257</v>
      </c>
    </row>
    <row r="8" spans="1:27" x14ac:dyDescent="0.25"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7" x14ac:dyDescent="0.25">
      <c r="A9" t="s">
        <v>129</v>
      </c>
      <c r="B9" s="51" t="s">
        <v>140</v>
      </c>
    </row>
    <row r="10" spans="1:27" ht="30" x14ac:dyDescent="0.25">
      <c r="G10" s="3" t="s">
        <v>174</v>
      </c>
      <c r="H10" s="3" t="s">
        <v>173</v>
      </c>
    </row>
    <row r="11" spans="1:27" x14ac:dyDescent="0.25">
      <c r="A11" s="12"/>
      <c r="B11" s="12"/>
      <c r="C11" s="28"/>
      <c r="D11" s="47"/>
      <c r="E11" s="29"/>
      <c r="F11" s="74" t="s">
        <v>137</v>
      </c>
      <c r="G11" s="74" t="s">
        <v>167</v>
      </c>
      <c r="H11" s="74" t="s">
        <v>170</v>
      </c>
      <c r="I11" s="13" t="s">
        <v>110</v>
      </c>
      <c r="J11" s="13" t="s">
        <v>111</v>
      </c>
      <c r="K11" s="13" t="s">
        <v>141</v>
      </c>
      <c r="L11" s="13" t="s">
        <v>156</v>
      </c>
      <c r="M11" s="13" t="s">
        <v>161</v>
      </c>
      <c r="N11" s="13" t="s">
        <v>162</v>
      </c>
      <c r="O11" s="13" t="s">
        <v>163</v>
      </c>
      <c r="P11" s="13" t="s">
        <v>164</v>
      </c>
      <c r="Q11" s="13" t="s">
        <v>165</v>
      </c>
      <c r="R11" s="13" t="s">
        <v>166</v>
      </c>
      <c r="S11" s="13" t="s">
        <v>168</v>
      </c>
      <c r="T11" s="13" t="s">
        <v>169</v>
      </c>
      <c r="U11" s="63" t="s">
        <v>39</v>
      </c>
      <c r="V11" s="56" t="s">
        <v>138</v>
      </c>
      <c r="W11" s="38" t="s">
        <v>15</v>
      </c>
    </row>
    <row r="12" spans="1:27" x14ac:dyDescent="0.25">
      <c r="A12" s="12"/>
      <c r="B12" s="12"/>
      <c r="C12" s="28"/>
      <c r="D12" s="47"/>
      <c r="E12" s="29"/>
      <c r="F12" s="74" t="s">
        <v>134</v>
      </c>
      <c r="G12" s="74" t="s">
        <v>134</v>
      </c>
      <c r="H12" s="74" t="s">
        <v>134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  <c r="O12" s="13" t="s">
        <v>15</v>
      </c>
      <c r="P12" s="13" t="s">
        <v>15</v>
      </c>
      <c r="Q12" s="13" t="s">
        <v>15</v>
      </c>
      <c r="R12" s="13" t="s">
        <v>15</v>
      </c>
      <c r="S12" s="13" t="s">
        <v>15</v>
      </c>
      <c r="T12" s="13" t="s">
        <v>15</v>
      </c>
      <c r="U12" s="63" t="s">
        <v>15</v>
      </c>
      <c r="V12" s="56" t="s">
        <v>136</v>
      </c>
      <c r="W12" s="38" t="s">
        <v>139</v>
      </c>
    </row>
    <row r="13" spans="1:27" x14ac:dyDescent="0.25">
      <c r="A13" s="15" t="s">
        <v>112</v>
      </c>
      <c r="B13" s="15"/>
      <c r="C13" s="26">
        <f>SUM(D14:D23)</f>
        <v>3513.68</v>
      </c>
      <c r="D13" s="44"/>
      <c r="E13" s="27"/>
      <c r="F13" s="75"/>
      <c r="G13" s="75"/>
      <c r="H13" s="75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64"/>
      <c r="V13" s="57"/>
      <c r="W13" s="39"/>
    </row>
    <row r="14" spans="1:27" x14ac:dyDescent="0.25">
      <c r="A14" s="15"/>
      <c r="B14" s="15" t="s">
        <v>113</v>
      </c>
      <c r="C14" s="26"/>
      <c r="D14" s="44">
        <v>2695.68</v>
      </c>
      <c r="E14" s="27"/>
      <c r="F14" s="76">
        <f>D14</f>
        <v>2695.68</v>
      </c>
      <c r="G14" s="76">
        <f>F14</f>
        <v>2695.68</v>
      </c>
      <c r="H14" s="76">
        <f t="shared" ref="H14:H22" si="5">G14</f>
        <v>2695.68</v>
      </c>
      <c r="I14" s="16">
        <v>214.38</v>
      </c>
      <c r="J14" s="16">
        <v>214.39</v>
      </c>
      <c r="K14" s="16">
        <v>0</v>
      </c>
      <c r="L14" s="16">
        <v>218.98</v>
      </c>
      <c r="M14" s="16">
        <f>214.38+214.38</f>
        <v>428.76</v>
      </c>
      <c r="N14" s="16">
        <v>250.02</v>
      </c>
      <c r="O14" s="16">
        <v>220.32</v>
      </c>
      <c r="P14" s="16">
        <v>0</v>
      </c>
      <c r="Q14" s="16">
        <f>220.32+220.32</f>
        <v>440.64</v>
      </c>
      <c r="R14" s="16">
        <f>220.32-2.94-41.06</f>
        <v>176.32</v>
      </c>
      <c r="S14" s="16">
        <v>217.25</v>
      </c>
      <c r="T14" s="16">
        <v>220.32</v>
      </c>
      <c r="U14" s="102">
        <f>449.28+0.8+223.84+0.8+223.84+223.84+0.8</f>
        <v>1123.1999999999998</v>
      </c>
      <c r="V14" s="58">
        <f>G14-U14</f>
        <v>1572.48</v>
      </c>
      <c r="W14" s="48">
        <f>U14/G14</f>
        <v>0.41666666666666663</v>
      </c>
      <c r="X14" s="25"/>
      <c r="Y14" s="25"/>
      <c r="Z14" s="25"/>
      <c r="AA14" s="25"/>
    </row>
    <row r="15" spans="1:27" x14ac:dyDescent="0.25">
      <c r="A15" s="15"/>
      <c r="B15" s="15" t="s">
        <v>114</v>
      </c>
      <c r="C15" s="26"/>
      <c r="D15" s="44">
        <v>0</v>
      </c>
      <c r="E15" s="27"/>
      <c r="F15" s="76">
        <f t="shared" ref="F15:F22" si="6">D15</f>
        <v>0</v>
      </c>
      <c r="G15" s="76">
        <f t="shared" ref="G15:G22" si="7">F15</f>
        <v>0</v>
      </c>
      <c r="H15" s="76">
        <f t="shared" si="5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65">
        <v>0</v>
      </c>
      <c r="V15" s="58">
        <f t="shared" ref="V15:V22" si="8">G15-U15</f>
        <v>0</v>
      </c>
      <c r="W15" s="48" t="e">
        <f t="shared" ref="W15:W22" si="9">U15/G15</f>
        <v>#DIV/0!</v>
      </c>
      <c r="X15" s="25"/>
      <c r="Y15" s="25"/>
      <c r="Z15" s="25"/>
      <c r="AA15" s="25"/>
    </row>
    <row r="16" spans="1:27" x14ac:dyDescent="0.25">
      <c r="A16" s="15"/>
      <c r="B16" s="15" t="s">
        <v>142</v>
      </c>
      <c r="C16" s="26"/>
      <c r="D16" s="44">
        <v>198</v>
      </c>
      <c r="E16" s="27"/>
      <c r="F16" s="76">
        <f t="shared" si="6"/>
        <v>198</v>
      </c>
      <c r="G16" s="76">
        <f t="shared" si="7"/>
        <v>198</v>
      </c>
      <c r="H16" s="76">
        <f t="shared" si="5"/>
        <v>198</v>
      </c>
      <c r="I16" s="16">
        <v>0</v>
      </c>
      <c r="J16" s="16">
        <v>0</v>
      </c>
      <c r="K16" s="16">
        <v>0</v>
      </c>
      <c r="L16" s="16">
        <v>45</v>
      </c>
      <c r="M16" s="16">
        <v>0</v>
      </c>
      <c r="N16" s="16">
        <v>0</v>
      </c>
      <c r="O16" s="16">
        <v>45</v>
      </c>
      <c r="P16" s="16">
        <v>0</v>
      </c>
      <c r="Q16" s="16">
        <v>45</v>
      </c>
      <c r="R16" s="16">
        <v>0</v>
      </c>
      <c r="S16" s="16">
        <v>0</v>
      </c>
      <c r="T16" s="16">
        <v>45</v>
      </c>
      <c r="U16" s="102">
        <f>45</f>
        <v>45</v>
      </c>
      <c r="V16" s="58">
        <f t="shared" si="8"/>
        <v>153</v>
      </c>
      <c r="W16" s="48">
        <f t="shared" si="9"/>
        <v>0.22727272727272727</v>
      </c>
      <c r="X16" s="25"/>
      <c r="Y16" s="25"/>
      <c r="Z16" s="25"/>
      <c r="AA16" s="25"/>
    </row>
    <row r="17" spans="1:27" x14ac:dyDescent="0.25">
      <c r="A17" s="15"/>
      <c r="B17" s="15" t="s">
        <v>115</v>
      </c>
      <c r="C17" s="26"/>
      <c r="D17" s="44">
        <v>90</v>
      </c>
      <c r="E17" s="27"/>
      <c r="F17" s="76">
        <f t="shared" si="6"/>
        <v>90</v>
      </c>
      <c r="G17" s="76">
        <f t="shared" si="7"/>
        <v>90</v>
      </c>
      <c r="H17" s="76">
        <f t="shared" si="5"/>
        <v>90</v>
      </c>
      <c r="I17" s="16">
        <v>0</v>
      </c>
      <c r="J17" s="16">
        <v>8.1300000000000008</v>
      </c>
      <c r="K17" s="16">
        <v>0</v>
      </c>
      <c r="L17" s="16">
        <v>2.25</v>
      </c>
      <c r="M17" s="16">
        <v>10</v>
      </c>
      <c r="N17" s="16">
        <v>0</v>
      </c>
      <c r="O17" s="16">
        <f>1.55+0.2+2.6</f>
        <v>4.3499999999999996</v>
      </c>
      <c r="P17" s="16">
        <v>0</v>
      </c>
      <c r="Q17" s="16">
        <f>1.7</f>
        <v>1.7</v>
      </c>
      <c r="R17" s="16">
        <v>0</v>
      </c>
      <c r="S17" s="16">
        <v>4.55</v>
      </c>
      <c r="T17" s="16">
        <v>0</v>
      </c>
      <c r="U17" s="65">
        <f>12.86+5.63</f>
        <v>18.489999999999998</v>
      </c>
      <c r="V17" s="58">
        <f t="shared" si="8"/>
        <v>71.510000000000005</v>
      </c>
      <c r="W17" s="48">
        <f t="shared" si="9"/>
        <v>0.20544444444444443</v>
      </c>
      <c r="X17" s="25"/>
      <c r="Y17" s="25"/>
      <c r="Z17" s="25"/>
      <c r="AA17" s="25"/>
    </row>
    <row r="18" spans="1:27" x14ac:dyDescent="0.25">
      <c r="A18" s="15"/>
      <c r="B18" s="15" t="s">
        <v>143</v>
      </c>
      <c r="C18" s="26"/>
      <c r="D18" s="44">
        <v>48</v>
      </c>
      <c r="E18" s="34"/>
      <c r="F18" s="76">
        <f t="shared" si="6"/>
        <v>48</v>
      </c>
      <c r="G18" s="76">
        <f t="shared" si="7"/>
        <v>48</v>
      </c>
      <c r="H18" s="77">
        <f t="shared" si="5"/>
        <v>48</v>
      </c>
      <c r="I18" s="18">
        <v>0</v>
      </c>
      <c r="J18" s="18">
        <v>12</v>
      </c>
      <c r="K18" s="18">
        <v>0</v>
      </c>
      <c r="L18" s="18">
        <f>4+4</f>
        <v>8</v>
      </c>
      <c r="M18" s="18">
        <v>4</v>
      </c>
      <c r="N18" s="18">
        <v>0</v>
      </c>
      <c r="O18" s="18">
        <v>8</v>
      </c>
      <c r="P18" s="18">
        <v>0</v>
      </c>
      <c r="Q18" s="18">
        <f>8</f>
        <v>8</v>
      </c>
      <c r="R18" s="18">
        <v>0</v>
      </c>
      <c r="S18" s="18">
        <v>12</v>
      </c>
      <c r="T18" s="18">
        <v>0</v>
      </c>
      <c r="U18" s="65">
        <f>4+4+4+4</f>
        <v>16</v>
      </c>
      <c r="V18" s="58">
        <f t="shared" si="8"/>
        <v>32</v>
      </c>
      <c r="W18" s="48">
        <f t="shared" si="9"/>
        <v>0.33333333333333331</v>
      </c>
      <c r="X18" s="25"/>
      <c r="Y18" s="25"/>
      <c r="Z18" s="25"/>
      <c r="AA18" s="25"/>
    </row>
    <row r="19" spans="1:27" x14ac:dyDescent="0.25">
      <c r="A19" s="15"/>
      <c r="B19" s="15" t="s">
        <v>144</v>
      </c>
      <c r="C19" s="26"/>
      <c r="D19" s="44">
        <v>24</v>
      </c>
      <c r="E19" s="34"/>
      <c r="F19" s="76">
        <f t="shared" si="6"/>
        <v>24</v>
      </c>
      <c r="G19" s="76">
        <f t="shared" si="7"/>
        <v>24</v>
      </c>
      <c r="H19" s="77">
        <f t="shared" si="5"/>
        <v>24</v>
      </c>
      <c r="I19" s="18">
        <v>0</v>
      </c>
      <c r="J19" s="18">
        <v>6</v>
      </c>
      <c r="K19" s="18">
        <v>0</v>
      </c>
      <c r="L19" s="18">
        <f>2+2</f>
        <v>4</v>
      </c>
      <c r="M19" s="18">
        <v>2</v>
      </c>
      <c r="N19" s="18">
        <v>0</v>
      </c>
      <c r="O19" s="18">
        <v>4</v>
      </c>
      <c r="P19" s="18">
        <v>0</v>
      </c>
      <c r="Q19" s="18">
        <v>4</v>
      </c>
      <c r="R19" s="18">
        <v>0</v>
      </c>
      <c r="S19" s="18">
        <v>6</v>
      </c>
      <c r="T19" s="18">
        <v>0</v>
      </c>
      <c r="U19" s="65">
        <f>2+2+2+2</f>
        <v>8</v>
      </c>
      <c r="V19" s="58">
        <f t="shared" si="8"/>
        <v>16</v>
      </c>
      <c r="W19" s="48">
        <f t="shared" si="9"/>
        <v>0.33333333333333331</v>
      </c>
      <c r="X19" s="25"/>
      <c r="Y19" s="25"/>
      <c r="Z19" s="25"/>
      <c r="AA19" s="25"/>
    </row>
    <row r="20" spans="1:27" x14ac:dyDescent="0.25">
      <c r="A20" s="15"/>
      <c r="B20" s="15" t="s">
        <v>145</v>
      </c>
      <c r="C20" s="26"/>
      <c r="D20" s="44">
        <v>18</v>
      </c>
      <c r="E20" s="34"/>
      <c r="F20" s="76">
        <f t="shared" si="6"/>
        <v>18</v>
      </c>
      <c r="G20" s="76">
        <f t="shared" si="7"/>
        <v>18</v>
      </c>
      <c r="H20" s="77">
        <f t="shared" si="5"/>
        <v>18</v>
      </c>
      <c r="I20" s="18">
        <v>0</v>
      </c>
      <c r="J20" s="18">
        <v>4.5</v>
      </c>
      <c r="K20" s="18">
        <v>0</v>
      </c>
      <c r="L20" s="18">
        <f>1.5+1.5</f>
        <v>3</v>
      </c>
      <c r="M20" s="18">
        <v>1.5</v>
      </c>
      <c r="N20" s="18">
        <v>0</v>
      </c>
      <c r="O20" s="18">
        <v>3</v>
      </c>
      <c r="P20" s="18">
        <v>0</v>
      </c>
      <c r="Q20" s="18">
        <v>3</v>
      </c>
      <c r="R20" s="18">
        <v>0</v>
      </c>
      <c r="S20" s="18">
        <v>4.5</v>
      </c>
      <c r="T20" s="18">
        <v>0</v>
      </c>
      <c r="U20" s="65">
        <f>1.5+1.5+1.5+1.5</f>
        <v>6</v>
      </c>
      <c r="V20" s="58">
        <f t="shared" si="8"/>
        <v>12</v>
      </c>
      <c r="W20" s="48">
        <f t="shared" si="9"/>
        <v>0.33333333333333331</v>
      </c>
      <c r="X20" s="25"/>
      <c r="Y20" s="25"/>
      <c r="Z20" s="25"/>
      <c r="AA20" s="25"/>
    </row>
    <row r="21" spans="1:27" x14ac:dyDescent="0.25">
      <c r="A21" s="15"/>
      <c r="B21" s="15" t="s">
        <v>146</v>
      </c>
      <c r="C21" s="26"/>
      <c r="D21" s="44">
        <v>90</v>
      </c>
      <c r="E21" s="34"/>
      <c r="F21" s="76">
        <f t="shared" si="6"/>
        <v>90</v>
      </c>
      <c r="G21" s="76">
        <f t="shared" si="7"/>
        <v>90</v>
      </c>
      <c r="H21" s="77">
        <f t="shared" si="5"/>
        <v>90</v>
      </c>
      <c r="I21" s="18">
        <v>0</v>
      </c>
      <c r="J21" s="18">
        <v>0</v>
      </c>
      <c r="K21" s="18">
        <v>0</v>
      </c>
      <c r="L21" s="18">
        <v>1.08</v>
      </c>
      <c r="M21" s="18">
        <v>4.32</v>
      </c>
      <c r="N21" s="18">
        <v>0</v>
      </c>
      <c r="O21" s="18">
        <f>1.08+4.05+1.08</f>
        <v>6.21</v>
      </c>
      <c r="P21" s="18">
        <v>0</v>
      </c>
      <c r="Q21" s="18">
        <f>1.08+1.08</f>
        <v>2.16</v>
      </c>
      <c r="R21" s="18">
        <v>0</v>
      </c>
      <c r="S21" s="18">
        <v>2.57</v>
      </c>
      <c r="T21" s="18">
        <v>0</v>
      </c>
      <c r="U21" s="65">
        <f>4.59+6.84</f>
        <v>11.43</v>
      </c>
      <c r="V21" s="58">
        <f t="shared" si="8"/>
        <v>78.569999999999993</v>
      </c>
      <c r="W21" s="48">
        <f t="shared" si="9"/>
        <v>0.127</v>
      </c>
      <c r="X21" s="25"/>
      <c r="Y21" s="25"/>
      <c r="Z21" s="25"/>
      <c r="AA21" s="25"/>
    </row>
    <row r="22" spans="1:27" x14ac:dyDescent="0.25">
      <c r="A22" s="15"/>
      <c r="B22" s="15" t="s">
        <v>116</v>
      </c>
      <c r="C22" s="26"/>
      <c r="D22" s="44">
        <v>350</v>
      </c>
      <c r="E22" s="34"/>
      <c r="F22" s="76">
        <f t="shared" si="6"/>
        <v>350</v>
      </c>
      <c r="G22" s="76">
        <f t="shared" si="7"/>
        <v>350</v>
      </c>
      <c r="H22" s="77">
        <f t="shared" si="5"/>
        <v>350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5</v>
      </c>
      <c r="Q22" s="18">
        <f>50+25+30</f>
        <v>105</v>
      </c>
      <c r="R22" s="18">
        <v>0</v>
      </c>
      <c r="S22" s="18">
        <v>0</v>
      </c>
      <c r="T22" s="18">
        <v>0</v>
      </c>
      <c r="U22" s="102">
        <v>0</v>
      </c>
      <c r="V22" s="58">
        <f t="shared" si="8"/>
        <v>350</v>
      </c>
      <c r="W22" s="48">
        <f t="shared" si="9"/>
        <v>0</v>
      </c>
      <c r="X22" s="25"/>
      <c r="Y22" s="25"/>
      <c r="Z22" s="25"/>
      <c r="AA22" s="25"/>
    </row>
    <row r="23" spans="1:27" ht="15.75" thickBot="1" x14ac:dyDescent="0.3">
      <c r="A23" s="15"/>
      <c r="B23" s="15"/>
      <c r="C23" s="26"/>
      <c r="D23" s="44"/>
      <c r="E23" s="34"/>
      <c r="F23" s="78">
        <f>SUM(F14:F22)</f>
        <v>3513.68</v>
      </c>
      <c r="G23" s="78">
        <f t="shared" ref="G23:H23" si="10">SUM(G14:G22)</f>
        <v>3513.68</v>
      </c>
      <c r="H23" s="78">
        <f t="shared" si="10"/>
        <v>3513.68</v>
      </c>
      <c r="I23" s="19">
        <f>SUM(I14:I21)</f>
        <v>214.38</v>
      </c>
      <c r="J23" s="19">
        <f>SUM(J14:J21)</f>
        <v>245.01999999999998</v>
      </c>
      <c r="K23" s="19">
        <f t="shared" ref="K23:N23" si="11">SUM(K14:K21)</f>
        <v>0</v>
      </c>
      <c r="L23" s="19">
        <f t="shared" si="11"/>
        <v>282.31</v>
      </c>
      <c r="M23" s="19">
        <f t="shared" si="11"/>
        <v>450.58</v>
      </c>
      <c r="N23" s="19">
        <f t="shared" si="11"/>
        <v>250.02</v>
      </c>
      <c r="O23" s="19">
        <f t="shared" ref="O23:V23" si="12">SUM(O14:O22)</f>
        <v>290.88</v>
      </c>
      <c r="P23" s="19">
        <f t="shared" si="12"/>
        <v>5</v>
      </c>
      <c r="Q23" s="19">
        <f t="shared" si="12"/>
        <v>609.5</v>
      </c>
      <c r="R23" s="19">
        <f t="shared" si="12"/>
        <v>176.32</v>
      </c>
      <c r="S23" s="19">
        <f t="shared" si="12"/>
        <v>246.87</v>
      </c>
      <c r="T23" s="19">
        <f t="shared" si="12"/>
        <v>265.32</v>
      </c>
      <c r="U23" s="66">
        <f>SUM(U14:U22)</f>
        <v>1228.1199999999999</v>
      </c>
      <c r="V23" s="59">
        <f t="shared" si="12"/>
        <v>2285.56</v>
      </c>
      <c r="W23" s="72">
        <f>U23/G23</f>
        <v>0.34952528403269506</v>
      </c>
    </row>
    <row r="24" spans="1:27" ht="15.75" thickTop="1" x14ac:dyDescent="0.25">
      <c r="A24" s="15" t="s">
        <v>119</v>
      </c>
      <c r="B24" s="15"/>
      <c r="C24" s="43">
        <f>SUM(D25:D25)</f>
        <v>130</v>
      </c>
      <c r="D24" s="44"/>
      <c r="E24" s="35"/>
      <c r="F24" s="79"/>
      <c r="G24" s="79"/>
      <c r="H24" s="79"/>
      <c r="I24" s="2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7"/>
      <c r="V24" s="60"/>
      <c r="W24" s="41"/>
    </row>
    <row r="25" spans="1:27" x14ac:dyDescent="0.25">
      <c r="A25" s="15"/>
      <c r="B25" s="15" t="s">
        <v>120</v>
      </c>
      <c r="C25" s="43"/>
      <c r="D25" s="44">
        <v>130</v>
      </c>
      <c r="E25" s="27"/>
      <c r="F25" s="76">
        <f>D25</f>
        <v>130</v>
      </c>
      <c r="G25" s="76">
        <f>F25</f>
        <v>130</v>
      </c>
      <c r="H25" s="76">
        <f>G25</f>
        <v>130</v>
      </c>
      <c r="I25" s="16">
        <v>0</v>
      </c>
      <c r="J25" s="16">
        <v>0</v>
      </c>
      <c r="K25" s="16">
        <v>100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02">
        <v>130</v>
      </c>
      <c r="V25" s="58">
        <f>G25-U25</f>
        <v>0</v>
      </c>
      <c r="W25" s="48">
        <f>U25/G25</f>
        <v>1</v>
      </c>
    </row>
    <row r="26" spans="1:27" ht="15.75" thickBot="1" x14ac:dyDescent="0.3">
      <c r="A26" s="15"/>
      <c r="B26" s="15"/>
      <c r="C26" s="43"/>
      <c r="D26" s="44"/>
      <c r="E26" s="34"/>
      <c r="F26" s="78">
        <f>SUM(F25:F25)</f>
        <v>130</v>
      </c>
      <c r="G26" s="78">
        <f t="shared" ref="G26:H26" si="13">SUM(G25:G25)</f>
        <v>130</v>
      </c>
      <c r="H26" s="78">
        <f t="shared" si="13"/>
        <v>130</v>
      </c>
      <c r="I26" s="19">
        <f>SUM(I25:I25)</f>
        <v>0</v>
      </c>
      <c r="J26" s="19">
        <f>SUM(J25:J25)</f>
        <v>0</v>
      </c>
      <c r="K26" s="19">
        <f t="shared" ref="K26:U26" si="14">SUM(K25:K25)</f>
        <v>100</v>
      </c>
      <c r="L26" s="19">
        <f t="shared" si="14"/>
        <v>0</v>
      </c>
      <c r="M26" s="19">
        <f t="shared" si="14"/>
        <v>0</v>
      </c>
      <c r="N26" s="19">
        <f t="shared" si="14"/>
        <v>0</v>
      </c>
      <c r="O26" s="19">
        <f t="shared" si="14"/>
        <v>0</v>
      </c>
      <c r="P26" s="19">
        <f t="shared" si="14"/>
        <v>0</v>
      </c>
      <c r="Q26" s="19">
        <f t="shared" si="14"/>
        <v>0</v>
      </c>
      <c r="R26" s="19">
        <f t="shared" si="14"/>
        <v>0</v>
      </c>
      <c r="S26" s="19">
        <f t="shared" si="14"/>
        <v>0</v>
      </c>
      <c r="T26" s="19">
        <f t="shared" si="14"/>
        <v>0</v>
      </c>
      <c r="U26" s="66">
        <f t="shared" si="14"/>
        <v>130</v>
      </c>
      <c r="V26" s="59">
        <f>SUM(V25:V25)</f>
        <v>0</v>
      </c>
      <c r="W26" s="72">
        <f>U26/G26</f>
        <v>1</v>
      </c>
    </row>
    <row r="27" spans="1:27" ht="15.75" thickTop="1" x14ac:dyDescent="0.25">
      <c r="A27" s="15" t="s">
        <v>121</v>
      </c>
      <c r="B27" s="15"/>
      <c r="C27" s="43">
        <f>SUM(D28:D31)</f>
        <v>705</v>
      </c>
      <c r="D27" s="44"/>
      <c r="E27" s="35"/>
      <c r="F27" s="79"/>
      <c r="G27" s="79"/>
      <c r="H27" s="79"/>
      <c r="I27" s="2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67"/>
      <c r="V27" s="60"/>
      <c r="W27" s="41"/>
    </row>
    <row r="28" spans="1:27" x14ac:dyDescent="0.25">
      <c r="A28" s="15"/>
      <c r="B28" s="15" t="s">
        <v>132</v>
      </c>
      <c r="C28" s="43"/>
      <c r="D28" s="44">
        <v>320</v>
      </c>
      <c r="E28" s="27"/>
      <c r="F28" s="76">
        <f>D28</f>
        <v>320</v>
      </c>
      <c r="G28" s="76">
        <f>F28</f>
        <v>320</v>
      </c>
      <c r="H28" s="76">
        <f>G28</f>
        <v>320</v>
      </c>
      <c r="I28" s="16">
        <v>0</v>
      </c>
      <c r="J28" s="16">
        <v>302.04000000000002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02">
        <v>225.1</v>
      </c>
      <c r="V28" s="58">
        <f>G28-U28</f>
        <v>94.9</v>
      </c>
      <c r="W28" s="48">
        <f>U28/G28</f>
        <v>0.70343749999999994</v>
      </c>
    </row>
    <row r="29" spans="1:27" x14ac:dyDescent="0.25">
      <c r="A29" s="15"/>
      <c r="B29" s="15" t="s">
        <v>122</v>
      </c>
      <c r="C29" s="43"/>
      <c r="D29" s="44">
        <v>100</v>
      </c>
      <c r="E29" s="34"/>
      <c r="F29" s="76">
        <f t="shared" ref="F29:F31" si="15">D29</f>
        <v>100</v>
      </c>
      <c r="G29" s="76">
        <f t="shared" ref="G29:G31" si="16">F29</f>
        <v>100</v>
      </c>
      <c r="H29" s="77">
        <f>G29</f>
        <v>100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65">
        <v>0</v>
      </c>
      <c r="V29" s="58">
        <f t="shared" ref="V29:V31" si="17">G29-U29</f>
        <v>100</v>
      </c>
      <c r="W29" s="48">
        <f>U29/G29</f>
        <v>0</v>
      </c>
    </row>
    <row r="30" spans="1:27" x14ac:dyDescent="0.25">
      <c r="A30" s="15"/>
      <c r="B30" s="15" t="s">
        <v>133</v>
      </c>
      <c r="C30" s="43"/>
      <c r="D30" s="44">
        <v>45</v>
      </c>
      <c r="E30" s="34"/>
      <c r="F30" s="76">
        <f t="shared" si="15"/>
        <v>45</v>
      </c>
      <c r="G30" s="76">
        <f t="shared" si="16"/>
        <v>45</v>
      </c>
      <c r="H30" s="77">
        <f>G30</f>
        <v>45</v>
      </c>
      <c r="I30" s="18">
        <v>0</v>
      </c>
      <c r="J30" s="18">
        <v>0</v>
      </c>
      <c r="K30" s="18">
        <v>0</v>
      </c>
      <c r="L30" s="18">
        <v>40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02">
        <v>40</v>
      </c>
      <c r="V30" s="58">
        <f t="shared" si="17"/>
        <v>5</v>
      </c>
      <c r="W30" s="48">
        <f>U30/G30</f>
        <v>0.88888888888888884</v>
      </c>
    </row>
    <row r="31" spans="1:27" x14ac:dyDescent="0.25">
      <c r="A31" s="15"/>
      <c r="B31" s="15" t="s">
        <v>171</v>
      </c>
      <c r="C31" s="43"/>
      <c r="D31" s="44">
        <v>240</v>
      </c>
      <c r="E31" s="34"/>
      <c r="F31" s="76">
        <f t="shared" si="15"/>
        <v>240</v>
      </c>
      <c r="G31" s="76">
        <f t="shared" si="16"/>
        <v>240</v>
      </c>
      <c r="H31" s="77">
        <v>0</v>
      </c>
      <c r="I31" s="18">
        <v>0</v>
      </c>
      <c r="J31" s="18">
        <f>74.99+94.8</f>
        <v>169.79</v>
      </c>
      <c r="K31" s="18">
        <v>0</v>
      </c>
      <c r="L31" s="18">
        <v>14.39</v>
      </c>
      <c r="M31" s="18">
        <v>14.39</v>
      </c>
      <c r="N31" s="18">
        <v>0</v>
      </c>
      <c r="O31" s="18">
        <v>14.39</v>
      </c>
      <c r="P31" s="18">
        <v>0</v>
      </c>
      <c r="Q31" s="18">
        <v>14.39</v>
      </c>
      <c r="R31" s="18">
        <v>0</v>
      </c>
      <c r="S31" s="18">
        <v>14.39</v>
      </c>
      <c r="T31" s="18">
        <v>0</v>
      </c>
      <c r="U31" s="65">
        <f>14.39+11.99+62.49+94.8</f>
        <v>183.67000000000002</v>
      </c>
      <c r="V31" s="58">
        <f t="shared" si="17"/>
        <v>56.329999999999984</v>
      </c>
      <c r="W31" s="48">
        <f>U31/G31</f>
        <v>0.7652916666666667</v>
      </c>
    </row>
    <row r="32" spans="1:27" ht="15.75" thickBot="1" x14ac:dyDescent="0.3">
      <c r="A32" s="15"/>
      <c r="B32" s="15"/>
      <c r="C32" s="43"/>
      <c r="D32" s="44"/>
      <c r="E32" s="34"/>
      <c r="F32" s="78">
        <f>SUM(F28:F31)</f>
        <v>705</v>
      </c>
      <c r="G32" s="78">
        <f>SUM(G28:G31)</f>
        <v>705</v>
      </c>
      <c r="H32" s="78">
        <f t="shared" ref="H32" si="18">SUM(H28:H30)</f>
        <v>465</v>
      </c>
      <c r="I32" s="19">
        <f t="shared" ref="I32:N32" si="19">SUM(I28:I31)</f>
        <v>0</v>
      </c>
      <c r="J32" s="19">
        <f t="shared" si="19"/>
        <v>471.83000000000004</v>
      </c>
      <c r="K32" s="19">
        <f t="shared" si="19"/>
        <v>0</v>
      </c>
      <c r="L32" s="19">
        <f t="shared" si="19"/>
        <v>54.39</v>
      </c>
      <c r="M32" s="19">
        <f t="shared" si="19"/>
        <v>14.39</v>
      </c>
      <c r="N32" s="19">
        <f t="shared" si="19"/>
        <v>0</v>
      </c>
      <c r="O32" s="19">
        <f t="shared" ref="O32:V32" si="20">SUM(O28:O31)</f>
        <v>14.39</v>
      </c>
      <c r="P32" s="19">
        <f t="shared" si="20"/>
        <v>0</v>
      </c>
      <c r="Q32" s="19">
        <f t="shared" si="20"/>
        <v>14.39</v>
      </c>
      <c r="R32" s="19">
        <f t="shared" si="20"/>
        <v>0</v>
      </c>
      <c r="S32" s="19">
        <f t="shared" si="20"/>
        <v>14.39</v>
      </c>
      <c r="T32" s="19">
        <f t="shared" si="20"/>
        <v>0</v>
      </c>
      <c r="U32" s="66">
        <f t="shared" si="20"/>
        <v>448.77000000000004</v>
      </c>
      <c r="V32" s="59">
        <f t="shared" si="20"/>
        <v>256.23</v>
      </c>
      <c r="W32" s="72">
        <f>U32/F32</f>
        <v>0.63655319148936174</v>
      </c>
    </row>
    <row r="33" spans="1:23" ht="15.75" thickTop="1" x14ac:dyDescent="0.25">
      <c r="A33" s="15" t="s">
        <v>126</v>
      </c>
      <c r="B33" s="22"/>
      <c r="C33" s="43">
        <f>SUM(D34:D35)</f>
        <v>290</v>
      </c>
      <c r="D33" s="44"/>
      <c r="E33" s="35"/>
      <c r="F33" s="79"/>
      <c r="G33" s="79"/>
      <c r="H33" s="79"/>
      <c r="I33" s="2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68"/>
      <c r="V33" s="61"/>
      <c r="W33" s="49"/>
    </row>
    <row r="34" spans="1:23" x14ac:dyDescent="0.25">
      <c r="A34" s="15"/>
      <c r="B34" s="22" t="s">
        <v>127</v>
      </c>
      <c r="C34" s="43"/>
      <c r="D34" s="44">
        <v>190</v>
      </c>
      <c r="E34" s="27"/>
      <c r="F34" s="76">
        <f>D34</f>
        <v>190</v>
      </c>
      <c r="G34" s="76">
        <f>F34</f>
        <v>190</v>
      </c>
      <c r="H34" s="76">
        <f>G34</f>
        <v>190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65">
        <f>SUM(I34:T34)</f>
        <v>0</v>
      </c>
      <c r="V34" s="58">
        <f>G34-U34</f>
        <v>190</v>
      </c>
      <c r="W34" s="48">
        <f>U34/G34</f>
        <v>0</v>
      </c>
    </row>
    <row r="35" spans="1:23" x14ac:dyDescent="0.25">
      <c r="A35" s="15"/>
      <c r="B35" s="22" t="s">
        <v>135</v>
      </c>
      <c r="C35" s="43"/>
      <c r="D35" s="44">
        <v>100</v>
      </c>
      <c r="E35" s="27"/>
      <c r="F35" s="76">
        <f>D35</f>
        <v>100</v>
      </c>
      <c r="G35" s="76">
        <f>F35</f>
        <v>100</v>
      </c>
      <c r="H35" s="76">
        <f>G35</f>
        <v>100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65">
        <v>90</v>
      </c>
      <c r="V35" s="58">
        <f>G35-U35</f>
        <v>10</v>
      </c>
      <c r="W35" s="48">
        <f>U35/G35</f>
        <v>0.9</v>
      </c>
    </row>
    <row r="36" spans="1:23" ht="15.75" thickBot="1" x14ac:dyDescent="0.3">
      <c r="A36" s="15"/>
      <c r="B36" s="22"/>
      <c r="C36" s="43"/>
      <c r="D36" s="44"/>
      <c r="E36" s="34"/>
      <c r="F36" s="78">
        <f t="shared" ref="F36:V36" si="21">SUM(F34:F35)</f>
        <v>290</v>
      </c>
      <c r="G36" s="78">
        <f t="shared" si="21"/>
        <v>290</v>
      </c>
      <c r="H36" s="78">
        <f t="shared" si="21"/>
        <v>290</v>
      </c>
      <c r="I36" s="78">
        <f t="shared" si="21"/>
        <v>0</v>
      </c>
      <c r="J36" s="78">
        <f t="shared" si="21"/>
        <v>0</v>
      </c>
      <c r="K36" s="78">
        <f t="shared" si="21"/>
        <v>0</v>
      </c>
      <c r="L36" s="78">
        <f t="shared" si="21"/>
        <v>0</v>
      </c>
      <c r="M36" s="78">
        <f t="shared" si="21"/>
        <v>0</v>
      </c>
      <c r="N36" s="78">
        <f t="shared" si="21"/>
        <v>0</v>
      </c>
      <c r="O36" s="78">
        <f t="shared" si="21"/>
        <v>0</v>
      </c>
      <c r="P36" s="78">
        <f t="shared" si="21"/>
        <v>0</v>
      </c>
      <c r="Q36" s="78">
        <f t="shared" si="21"/>
        <v>0</v>
      </c>
      <c r="R36" s="19">
        <f t="shared" si="21"/>
        <v>0</v>
      </c>
      <c r="S36" s="19">
        <f t="shared" si="21"/>
        <v>0</v>
      </c>
      <c r="T36" s="19">
        <f t="shared" si="21"/>
        <v>0</v>
      </c>
      <c r="U36" s="66">
        <f t="shared" si="21"/>
        <v>90</v>
      </c>
      <c r="V36" s="59">
        <f t="shared" si="21"/>
        <v>200</v>
      </c>
      <c r="W36" s="72">
        <f>U36/G36</f>
        <v>0.31034482758620691</v>
      </c>
    </row>
    <row r="37" spans="1:23" ht="15.75" thickTop="1" x14ac:dyDescent="0.25">
      <c r="A37" s="15" t="s">
        <v>123</v>
      </c>
      <c r="B37" s="15"/>
      <c r="C37" s="43">
        <f>SUM(D38:D39)</f>
        <v>195</v>
      </c>
      <c r="D37" s="44"/>
      <c r="E37" s="35"/>
      <c r="F37" s="79"/>
      <c r="G37" s="79"/>
      <c r="H37" s="79"/>
      <c r="I37" s="20"/>
      <c r="J37" s="32"/>
      <c r="K37" s="32"/>
      <c r="L37" s="32"/>
      <c r="M37" s="32"/>
      <c r="N37" s="32"/>
      <c r="O37" s="32"/>
      <c r="Q37" s="32"/>
      <c r="R37" s="32"/>
      <c r="S37" s="32"/>
      <c r="T37" s="32"/>
      <c r="U37" s="67"/>
      <c r="V37" s="60"/>
      <c r="W37" s="41"/>
    </row>
    <row r="38" spans="1:23" x14ac:dyDescent="0.25">
      <c r="A38" s="15"/>
      <c r="B38" s="15" t="s">
        <v>124</v>
      </c>
      <c r="C38" s="43"/>
      <c r="D38" s="44">
        <v>145</v>
      </c>
      <c r="E38" s="27"/>
      <c r="F38" s="76">
        <f>D38</f>
        <v>145</v>
      </c>
      <c r="G38" s="76">
        <f>F38</f>
        <v>145</v>
      </c>
      <c r="H38" s="7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121.8</v>
      </c>
      <c r="U38" s="102">
        <v>0</v>
      </c>
      <c r="V38" s="58">
        <f>G38-U38</f>
        <v>145</v>
      </c>
      <c r="W38" s="48">
        <f>U38/G38</f>
        <v>0</v>
      </c>
    </row>
    <row r="39" spans="1:23" x14ac:dyDescent="0.25">
      <c r="A39" s="15"/>
      <c r="B39" s="15" t="s">
        <v>125</v>
      </c>
      <c r="C39" s="43"/>
      <c r="D39" s="44">
        <v>50</v>
      </c>
      <c r="E39" s="27"/>
      <c r="F39" s="76">
        <f>D39</f>
        <v>50</v>
      </c>
      <c r="G39" s="76">
        <f>F39</f>
        <v>50</v>
      </c>
      <c r="H39" s="76">
        <f>G39</f>
        <v>50</v>
      </c>
      <c r="I39" s="16">
        <v>0</v>
      </c>
      <c r="J39" s="16">
        <v>0</v>
      </c>
      <c r="K39" s="16">
        <v>0</v>
      </c>
      <c r="L39" s="16">
        <v>34.520000000000003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02">
        <f>28.2</f>
        <v>28.2</v>
      </c>
      <c r="V39" s="58">
        <f>G39-U39</f>
        <v>21.8</v>
      </c>
      <c r="W39" s="48">
        <f>U39/G39</f>
        <v>0.56399999999999995</v>
      </c>
    </row>
    <row r="40" spans="1:23" ht="15.75" thickBot="1" x14ac:dyDescent="0.3">
      <c r="A40" s="15"/>
      <c r="B40" s="15"/>
      <c r="C40" s="43"/>
      <c r="D40" s="44"/>
      <c r="E40" s="34"/>
      <c r="F40" s="78">
        <f>SUM(F38:F39)</f>
        <v>195</v>
      </c>
      <c r="G40" s="78">
        <f>SUM(G38:G39)</f>
        <v>195</v>
      </c>
      <c r="H40" s="78">
        <f>SUM(H38:H39)</f>
        <v>50</v>
      </c>
      <c r="I40" s="19">
        <f>SUM(I38:I39)</f>
        <v>0</v>
      </c>
      <c r="J40" s="19">
        <f>SUM(J38:J39)</f>
        <v>0</v>
      </c>
      <c r="K40" s="19">
        <f t="shared" ref="K40:U40" si="22">SUM(K38:K39)</f>
        <v>0</v>
      </c>
      <c r="L40" s="19">
        <f t="shared" si="22"/>
        <v>34.520000000000003</v>
      </c>
      <c r="M40" s="19">
        <f t="shared" si="22"/>
        <v>0</v>
      </c>
      <c r="N40" s="19">
        <f t="shared" si="22"/>
        <v>0</v>
      </c>
      <c r="O40" s="19">
        <f t="shared" si="22"/>
        <v>0</v>
      </c>
      <c r="P40" s="19">
        <f t="shared" si="22"/>
        <v>0</v>
      </c>
      <c r="Q40" s="19">
        <f t="shared" si="22"/>
        <v>0</v>
      </c>
      <c r="R40" s="19">
        <f t="shared" si="22"/>
        <v>0</v>
      </c>
      <c r="S40" s="19">
        <f t="shared" si="22"/>
        <v>0</v>
      </c>
      <c r="T40" s="19">
        <f t="shared" si="22"/>
        <v>121.8</v>
      </c>
      <c r="U40" s="66">
        <f t="shared" si="22"/>
        <v>28.2</v>
      </c>
      <c r="V40" s="59">
        <f>SUM(V38:V39)</f>
        <v>166.8</v>
      </c>
      <c r="W40" s="72">
        <f>U40/G40</f>
        <v>0.14461538461538462</v>
      </c>
    </row>
    <row r="41" spans="1:23" ht="15.75" thickTop="1" x14ac:dyDescent="0.25">
      <c r="A41" s="15" t="s">
        <v>153</v>
      </c>
      <c r="B41" s="15"/>
      <c r="C41" s="43">
        <f>SUM(D42:D43)</f>
        <v>114</v>
      </c>
      <c r="D41" s="44"/>
      <c r="E41" s="35"/>
      <c r="F41" s="79"/>
      <c r="G41" s="79"/>
      <c r="H41" s="79"/>
      <c r="I41" s="20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67"/>
      <c r="V41" s="60"/>
      <c r="W41" s="41"/>
    </row>
    <row r="42" spans="1:23" x14ac:dyDescent="0.25">
      <c r="A42" s="15"/>
      <c r="B42" s="15" t="s">
        <v>154</v>
      </c>
      <c r="C42" s="43"/>
      <c r="D42" s="44">
        <v>80</v>
      </c>
      <c r="E42" s="35"/>
      <c r="F42" s="80">
        <f>D42</f>
        <v>80</v>
      </c>
      <c r="G42" s="80">
        <f>F42</f>
        <v>80</v>
      </c>
      <c r="H42" s="80">
        <f>G42</f>
        <v>80</v>
      </c>
      <c r="I42" s="2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65">
        <f>16</f>
        <v>16</v>
      </c>
      <c r="V42" s="58">
        <f>G42-U42</f>
        <v>64</v>
      </c>
      <c r="W42" s="48">
        <f>U42/G42</f>
        <v>0.2</v>
      </c>
    </row>
    <row r="43" spans="1:23" x14ac:dyDescent="0.25">
      <c r="A43" s="15"/>
      <c r="B43" s="15" t="s">
        <v>155</v>
      </c>
      <c r="C43" s="43"/>
      <c r="D43" s="44">
        <v>34</v>
      </c>
      <c r="E43" s="27"/>
      <c r="F43" s="80">
        <f>D43</f>
        <v>34</v>
      </c>
      <c r="G43" s="76">
        <f>F43</f>
        <v>34</v>
      </c>
      <c r="H43" s="76">
        <f>G43</f>
        <v>34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65">
        <f>SUM(I43:T43)</f>
        <v>0</v>
      </c>
      <c r="V43" s="58">
        <f>G43-U43</f>
        <v>34</v>
      </c>
      <c r="W43" s="48">
        <f>U43/G43</f>
        <v>0</v>
      </c>
    </row>
    <row r="44" spans="1:23" ht="15.75" thickBot="1" x14ac:dyDescent="0.3">
      <c r="A44" s="15"/>
      <c r="B44" s="15"/>
      <c r="C44" s="43"/>
      <c r="D44" s="44"/>
      <c r="E44" s="34"/>
      <c r="F44" s="78">
        <f>SUM(F42:F43)</f>
        <v>114</v>
      </c>
      <c r="G44" s="78">
        <f t="shared" ref="G44:H44" si="23">SUM(G42:G43)</f>
        <v>114</v>
      </c>
      <c r="H44" s="78">
        <f t="shared" si="23"/>
        <v>114</v>
      </c>
      <c r="I44" s="19">
        <f t="shared" ref="I44:R44" si="24">SUM(I43:I43)</f>
        <v>0</v>
      </c>
      <c r="J44" s="19">
        <f t="shared" si="24"/>
        <v>0</v>
      </c>
      <c r="K44" s="19">
        <f t="shared" si="24"/>
        <v>0</v>
      </c>
      <c r="L44" s="19">
        <f t="shared" si="24"/>
        <v>0</v>
      </c>
      <c r="M44" s="19">
        <f t="shared" si="24"/>
        <v>0</v>
      </c>
      <c r="N44" s="19">
        <f t="shared" si="24"/>
        <v>0</v>
      </c>
      <c r="O44" s="19">
        <f t="shared" si="24"/>
        <v>0</v>
      </c>
      <c r="P44" s="19">
        <f t="shared" si="24"/>
        <v>0</v>
      </c>
      <c r="Q44" s="19">
        <f t="shared" si="24"/>
        <v>0</v>
      </c>
      <c r="R44" s="19">
        <f t="shared" si="24"/>
        <v>0</v>
      </c>
      <c r="S44" s="19">
        <f>SUM(S42:S43)</f>
        <v>0</v>
      </c>
      <c r="T44" s="19">
        <f>SUM(T42:T43)</f>
        <v>0</v>
      </c>
      <c r="U44" s="66">
        <f>SUM(U42:U43)</f>
        <v>16</v>
      </c>
      <c r="V44" s="59">
        <f>SUM(V42:V43)</f>
        <v>98</v>
      </c>
      <c r="W44" s="72">
        <f>U44/G44</f>
        <v>0.14035087719298245</v>
      </c>
    </row>
    <row r="45" spans="1:23" ht="15.75" thickTop="1" x14ac:dyDescent="0.25">
      <c r="A45" s="15" t="s">
        <v>117</v>
      </c>
      <c r="B45" s="15"/>
      <c r="C45" s="43">
        <f>SUM(D46:D49)</f>
        <v>905</v>
      </c>
      <c r="D45" s="44"/>
      <c r="E45" s="35"/>
      <c r="F45" s="79"/>
      <c r="G45" s="79"/>
      <c r="H45" s="79"/>
      <c r="I45" s="20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67"/>
      <c r="V45" s="60"/>
      <c r="W45" s="41"/>
    </row>
    <row r="46" spans="1:23" x14ac:dyDescent="0.25">
      <c r="A46" s="15"/>
      <c r="B46" s="15" t="s">
        <v>118</v>
      </c>
      <c r="C46" s="43"/>
      <c r="D46" s="44">
        <v>80</v>
      </c>
      <c r="E46" s="35"/>
      <c r="F46" s="80">
        <f>D46</f>
        <v>80</v>
      </c>
      <c r="G46" s="80">
        <f>F46</f>
        <v>80</v>
      </c>
      <c r="H46" s="80">
        <f>G46</f>
        <v>80</v>
      </c>
      <c r="I46" s="21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68.5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02">
        <v>0</v>
      </c>
      <c r="V46" s="58">
        <f>G46-U46</f>
        <v>80</v>
      </c>
      <c r="W46" s="48">
        <f t="shared" ref="W46:W50" si="25">U46/G46</f>
        <v>0</v>
      </c>
    </row>
    <row r="47" spans="1:23" x14ac:dyDescent="0.25">
      <c r="A47" s="15"/>
      <c r="B47" s="15" t="s">
        <v>147</v>
      </c>
      <c r="C47" s="43"/>
      <c r="D47" s="44">
        <v>50</v>
      </c>
      <c r="E47" s="27"/>
      <c r="F47" s="80">
        <f t="shared" ref="F47:F49" si="26">D47</f>
        <v>50</v>
      </c>
      <c r="G47" s="80">
        <f t="shared" ref="G47" si="27">F47</f>
        <v>50</v>
      </c>
      <c r="H47" s="80">
        <f t="shared" ref="H47:H49" si="28">G47</f>
        <v>50</v>
      </c>
      <c r="I47" s="21">
        <v>0</v>
      </c>
      <c r="J47" s="16">
        <v>0</v>
      </c>
      <c r="K47" s="16">
        <v>0</v>
      </c>
      <c r="L47" s="16">
        <v>0</v>
      </c>
      <c r="M47" s="21">
        <v>0</v>
      </c>
      <c r="N47" s="21">
        <v>0</v>
      </c>
      <c r="O47" s="21">
        <v>50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102">
        <v>0</v>
      </c>
      <c r="V47" s="58">
        <f t="shared" ref="V47:V49" si="29">G47-U47</f>
        <v>50</v>
      </c>
      <c r="W47" s="48">
        <f t="shared" si="25"/>
        <v>0</v>
      </c>
    </row>
    <row r="48" spans="1:23" x14ac:dyDescent="0.25">
      <c r="A48" s="15"/>
      <c r="B48" s="15" t="s">
        <v>117</v>
      </c>
      <c r="C48" s="43"/>
      <c r="D48" s="44">
        <v>600</v>
      </c>
      <c r="E48" s="27"/>
      <c r="F48" s="80">
        <f t="shared" si="26"/>
        <v>600</v>
      </c>
      <c r="G48" s="80">
        <f>F48</f>
        <v>600</v>
      </c>
      <c r="H48" s="80">
        <f t="shared" si="28"/>
        <v>600</v>
      </c>
      <c r="I48" s="21">
        <v>40</v>
      </c>
      <c r="J48" s="16">
        <v>0</v>
      </c>
      <c r="K48" s="16">
        <v>40</v>
      </c>
      <c r="L48" s="16">
        <v>0</v>
      </c>
      <c r="M48" s="21">
        <v>95.81</v>
      </c>
      <c r="N48" s="21">
        <v>40</v>
      </c>
      <c r="O48" s="21">
        <v>0</v>
      </c>
      <c r="P48" s="21">
        <v>0</v>
      </c>
      <c r="Q48" s="21">
        <v>35</v>
      </c>
      <c r="R48" s="21">
        <v>0</v>
      </c>
      <c r="S48" s="21">
        <v>0</v>
      </c>
      <c r="T48" s="21">
        <v>7.25</v>
      </c>
      <c r="U48" s="102">
        <f>138</f>
        <v>138</v>
      </c>
      <c r="V48" s="58">
        <f t="shared" si="29"/>
        <v>462</v>
      </c>
      <c r="W48" s="48">
        <f t="shared" si="25"/>
        <v>0.23</v>
      </c>
    </row>
    <row r="49" spans="1:23" x14ac:dyDescent="0.25">
      <c r="A49" s="15"/>
      <c r="B49" s="15" t="s">
        <v>172</v>
      </c>
      <c r="C49" s="43"/>
      <c r="D49" s="44">
        <v>175</v>
      </c>
      <c r="E49" s="34"/>
      <c r="F49" s="80">
        <f t="shared" si="26"/>
        <v>175</v>
      </c>
      <c r="G49" s="80">
        <f>F49</f>
        <v>175</v>
      </c>
      <c r="H49" s="80">
        <f t="shared" si="28"/>
        <v>175</v>
      </c>
      <c r="I49" s="21">
        <v>81.33</v>
      </c>
      <c r="J49" s="16">
        <v>0</v>
      </c>
      <c r="K49" s="16">
        <v>0</v>
      </c>
      <c r="L49" s="16">
        <v>0</v>
      </c>
      <c r="M49" s="21">
        <v>0</v>
      </c>
      <c r="N49" s="21">
        <v>0</v>
      </c>
      <c r="O49" s="21">
        <v>83.36</v>
      </c>
      <c r="P49" s="31">
        <v>0</v>
      </c>
      <c r="Q49" s="31">
        <v>0</v>
      </c>
      <c r="R49" s="31">
        <v>0</v>
      </c>
      <c r="S49" s="31">
        <v>0</v>
      </c>
      <c r="T49" s="16">
        <v>83.36</v>
      </c>
      <c r="U49" s="102">
        <v>0</v>
      </c>
      <c r="V49" s="58">
        <f t="shared" si="29"/>
        <v>175</v>
      </c>
      <c r="W49" s="48">
        <f t="shared" si="25"/>
        <v>0</v>
      </c>
    </row>
    <row r="50" spans="1:23" ht="15.75" thickBot="1" x14ac:dyDescent="0.3">
      <c r="A50" s="15"/>
      <c r="B50" s="15"/>
      <c r="C50" s="43"/>
      <c r="D50" s="44"/>
      <c r="E50" s="34"/>
      <c r="F50" s="78">
        <f>SUM(F46:F49)</f>
        <v>905</v>
      </c>
      <c r="G50" s="78">
        <f>SUM(G46:G49)</f>
        <v>905</v>
      </c>
      <c r="H50" s="78">
        <f>SUM(H46:H48)</f>
        <v>730</v>
      </c>
      <c r="I50" s="78">
        <f>SUM(I46:I49)</f>
        <v>121.33</v>
      </c>
      <c r="J50" s="78">
        <f>SUM(J46:J48)</f>
        <v>0</v>
      </c>
      <c r="K50" s="78">
        <f>SUM(K46:K48)</f>
        <v>40</v>
      </c>
      <c r="L50" s="78">
        <f>SUM(L46:L48)</f>
        <v>0</v>
      </c>
      <c r="M50" s="78">
        <f>SUM(M46:M48)</f>
        <v>95.81</v>
      </c>
      <c r="N50" s="78">
        <f>SUM(N46:N48)</f>
        <v>40</v>
      </c>
      <c r="O50" s="78">
        <f t="shared" ref="O50:V50" si="30">SUM(O46:O49)</f>
        <v>201.86</v>
      </c>
      <c r="P50" s="78">
        <f t="shared" si="30"/>
        <v>0</v>
      </c>
      <c r="Q50" s="78">
        <f t="shared" si="30"/>
        <v>35</v>
      </c>
      <c r="R50" s="19">
        <f t="shared" si="30"/>
        <v>0</v>
      </c>
      <c r="S50" s="19">
        <f t="shared" si="30"/>
        <v>0</v>
      </c>
      <c r="T50" s="19">
        <f t="shared" si="30"/>
        <v>90.61</v>
      </c>
      <c r="U50" s="66">
        <f t="shared" si="30"/>
        <v>138</v>
      </c>
      <c r="V50" s="59">
        <f t="shared" si="30"/>
        <v>767</v>
      </c>
      <c r="W50" s="72">
        <f t="shared" si="25"/>
        <v>0.15248618784530388</v>
      </c>
    </row>
    <row r="51" spans="1:23" ht="15.75" thickTop="1" x14ac:dyDescent="0.25">
      <c r="A51" s="15" t="s">
        <v>149</v>
      </c>
      <c r="B51" s="15"/>
      <c r="C51" s="43">
        <f>SUM(D52:D54)</f>
        <v>1250</v>
      </c>
      <c r="D51" s="44"/>
      <c r="E51" s="36"/>
      <c r="F51" s="81"/>
      <c r="G51" s="81"/>
      <c r="H51" s="8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8"/>
      <c r="V51" s="61"/>
      <c r="W51" s="40"/>
    </row>
    <row r="52" spans="1:23" x14ac:dyDescent="0.25">
      <c r="A52" s="15"/>
      <c r="B52" s="15" t="s">
        <v>150</v>
      </c>
      <c r="C52" s="43"/>
      <c r="D52" s="44">
        <v>500</v>
      </c>
      <c r="E52" s="34"/>
      <c r="F52" s="77">
        <f>D52</f>
        <v>500</v>
      </c>
      <c r="G52" s="77">
        <f>F52</f>
        <v>500</v>
      </c>
      <c r="H52" s="77">
        <f>G52</f>
        <v>500</v>
      </c>
      <c r="I52" s="18">
        <v>0</v>
      </c>
      <c r="J52" s="18">
        <v>0</v>
      </c>
      <c r="K52" s="18">
        <v>0</v>
      </c>
      <c r="L52" s="18">
        <v>0</v>
      </c>
      <c r="M52" s="18">
        <v>205.07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03">
        <v>0</v>
      </c>
      <c r="V52" s="58">
        <f>G52-U52</f>
        <v>500</v>
      </c>
      <c r="W52" s="48">
        <f>U52/G52</f>
        <v>0</v>
      </c>
    </row>
    <row r="53" spans="1:23" x14ac:dyDescent="0.25">
      <c r="A53" s="15"/>
      <c r="B53" s="15" t="s">
        <v>151</v>
      </c>
      <c r="C53" s="43"/>
      <c r="D53" s="44">
        <v>250</v>
      </c>
      <c r="E53" s="34"/>
      <c r="F53" s="77">
        <f t="shared" ref="F53:F54" si="31">D53</f>
        <v>250</v>
      </c>
      <c r="G53" s="77">
        <f>F53</f>
        <v>250</v>
      </c>
      <c r="H53" s="77">
        <f t="shared" ref="H53:H54" si="32">G53</f>
        <v>250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269</v>
      </c>
      <c r="R53" s="18">
        <v>0</v>
      </c>
      <c r="S53" s="18">
        <v>0</v>
      </c>
      <c r="T53" s="18">
        <v>696.42</v>
      </c>
      <c r="U53" s="103">
        <v>0</v>
      </c>
      <c r="V53" s="58">
        <f t="shared" ref="V53:V54" si="33">G53-U53</f>
        <v>250</v>
      </c>
      <c r="W53" s="48">
        <f>U53/G53</f>
        <v>0</v>
      </c>
    </row>
    <row r="54" spans="1:23" x14ac:dyDescent="0.25">
      <c r="A54" s="15"/>
      <c r="B54" s="15" t="s">
        <v>152</v>
      </c>
      <c r="C54" s="43"/>
      <c r="D54" s="44">
        <v>500</v>
      </c>
      <c r="E54" s="34"/>
      <c r="F54" s="77">
        <f t="shared" si="31"/>
        <v>500</v>
      </c>
      <c r="G54" s="77">
        <f t="shared" ref="G54" si="34">F54</f>
        <v>500</v>
      </c>
      <c r="H54" s="77">
        <f t="shared" si="32"/>
        <v>500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69">
        <f>SUM(I54:T54)</f>
        <v>0</v>
      </c>
      <c r="V54" s="58">
        <f t="shared" si="33"/>
        <v>500</v>
      </c>
      <c r="W54" s="48">
        <f>U54/G54</f>
        <v>0</v>
      </c>
    </row>
    <row r="55" spans="1:23" ht="15.75" thickBot="1" x14ac:dyDescent="0.3">
      <c r="A55" s="15"/>
      <c r="B55" s="15"/>
      <c r="C55" s="43"/>
      <c r="D55" s="44"/>
      <c r="E55" s="34"/>
      <c r="F55" s="78">
        <f t="shared" ref="F55:V55" si="35">SUM(F52:F54)</f>
        <v>1250</v>
      </c>
      <c r="G55" s="78">
        <f t="shared" si="35"/>
        <v>1250</v>
      </c>
      <c r="H55" s="78">
        <f t="shared" si="35"/>
        <v>1250</v>
      </c>
      <c r="I55" s="19">
        <f t="shared" si="35"/>
        <v>0</v>
      </c>
      <c r="J55" s="19">
        <f t="shared" si="35"/>
        <v>0</v>
      </c>
      <c r="K55" s="19">
        <f t="shared" si="35"/>
        <v>0</v>
      </c>
      <c r="L55" s="19">
        <f t="shared" si="35"/>
        <v>0</v>
      </c>
      <c r="M55" s="19">
        <f t="shared" si="35"/>
        <v>205.07</v>
      </c>
      <c r="N55" s="19">
        <f t="shared" si="35"/>
        <v>0</v>
      </c>
      <c r="O55" s="19">
        <f t="shared" si="35"/>
        <v>0</v>
      </c>
      <c r="P55" s="19">
        <f t="shared" si="35"/>
        <v>0</v>
      </c>
      <c r="Q55" s="19">
        <f t="shared" si="35"/>
        <v>269</v>
      </c>
      <c r="R55" s="19">
        <f t="shared" si="35"/>
        <v>0</v>
      </c>
      <c r="S55" s="19">
        <f t="shared" si="35"/>
        <v>0</v>
      </c>
      <c r="T55" s="19">
        <f t="shared" si="35"/>
        <v>696.42</v>
      </c>
      <c r="U55" s="66">
        <f t="shared" si="35"/>
        <v>0</v>
      </c>
      <c r="V55" s="59">
        <f t="shared" si="35"/>
        <v>1250</v>
      </c>
      <c r="W55" s="72">
        <f>U55/G55</f>
        <v>0</v>
      </c>
    </row>
    <row r="56" spans="1:23" ht="15.75" thickTop="1" x14ac:dyDescent="0.25">
      <c r="A56" s="15" t="s">
        <v>175</v>
      </c>
      <c r="B56" s="15"/>
      <c r="C56" s="43">
        <f>SUM(D57:D57)</f>
        <v>500</v>
      </c>
      <c r="D56" s="44"/>
      <c r="E56" s="36"/>
      <c r="F56" s="81"/>
      <c r="G56" s="81"/>
      <c r="H56" s="8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68"/>
      <c r="V56" s="61"/>
      <c r="W56" s="40"/>
    </row>
    <row r="57" spans="1:23" x14ac:dyDescent="0.25">
      <c r="A57" s="15"/>
      <c r="B57" s="15" t="s">
        <v>176</v>
      </c>
      <c r="C57" s="43"/>
      <c r="D57" s="44">
        <v>500</v>
      </c>
      <c r="E57" s="34"/>
      <c r="F57" s="77">
        <f>D57</f>
        <v>500</v>
      </c>
      <c r="G57" s="77">
        <f>F57</f>
        <v>500</v>
      </c>
      <c r="H57" s="77">
        <f>G57</f>
        <v>500</v>
      </c>
      <c r="I57" s="18">
        <v>0</v>
      </c>
      <c r="J57" s="18">
        <v>0</v>
      </c>
      <c r="K57" s="18">
        <v>0</v>
      </c>
      <c r="L57" s="18">
        <v>0</v>
      </c>
      <c r="M57" s="18">
        <v>205.07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03">
        <v>0</v>
      </c>
      <c r="V57" s="58">
        <f>G57-U57</f>
        <v>500</v>
      </c>
      <c r="W57" s="48">
        <f>U57/G57</f>
        <v>0</v>
      </c>
    </row>
    <row r="58" spans="1:23" ht="15.75" thickBot="1" x14ac:dyDescent="0.3">
      <c r="A58" s="15"/>
      <c r="B58" s="15"/>
      <c r="C58" s="43"/>
      <c r="D58" s="44"/>
      <c r="E58" s="34"/>
      <c r="F58" s="78">
        <f t="shared" ref="F58:V58" si="36">SUM(F57:F57)</f>
        <v>500</v>
      </c>
      <c r="G58" s="78">
        <f t="shared" si="36"/>
        <v>500</v>
      </c>
      <c r="H58" s="78">
        <f t="shared" si="36"/>
        <v>500</v>
      </c>
      <c r="I58" s="19">
        <f t="shared" si="36"/>
        <v>0</v>
      </c>
      <c r="J58" s="19">
        <f t="shared" si="36"/>
        <v>0</v>
      </c>
      <c r="K58" s="19">
        <f t="shared" si="36"/>
        <v>0</v>
      </c>
      <c r="L58" s="19">
        <f t="shared" si="36"/>
        <v>0</v>
      </c>
      <c r="M58" s="19">
        <f t="shared" si="36"/>
        <v>205.07</v>
      </c>
      <c r="N58" s="19">
        <f t="shared" si="36"/>
        <v>0</v>
      </c>
      <c r="O58" s="19">
        <f t="shared" si="36"/>
        <v>0</v>
      </c>
      <c r="P58" s="19">
        <f t="shared" si="36"/>
        <v>0</v>
      </c>
      <c r="Q58" s="19">
        <f t="shared" si="36"/>
        <v>0</v>
      </c>
      <c r="R58" s="19">
        <f t="shared" si="36"/>
        <v>0</v>
      </c>
      <c r="S58" s="19">
        <f t="shared" si="36"/>
        <v>0</v>
      </c>
      <c r="T58" s="19">
        <f t="shared" si="36"/>
        <v>0</v>
      </c>
      <c r="U58" s="66">
        <f t="shared" si="36"/>
        <v>0</v>
      </c>
      <c r="V58" s="59">
        <f t="shared" si="36"/>
        <v>500</v>
      </c>
      <c r="W58" s="72">
        <f>U58/G58</f>
        <v>0</v>
      </c>
    </row>
    <row r="59" spans="1:23" ht="15.75" thickTop="1" x14ac:dyDescent="0.25">
      <c r="A59" s="15" t="s">
        <v>128</v>
      </c>
      <c r="B59" s="23"/>
      <c r="C59" s="43">
        <f>SUM(D60:D60)</f>
        <v>230</v>
      </c>
      <c r="D59" s="44"/>
      <c r="E59" s="33"/>
      <c r="F59" s="82"/>
      <c r="G59" s="82"/>
      <c r="H59" s="82"/>
      <c r="U59" s="70"/>
      <c r="V59" s="61"/>
      <c r="W59" s="40"/>
    </row>
    <row r="60" spans="1:23" x14ac:dyDescent="0.25">
      <c r="A60" s="15"/>
      <c r="B60" s="23" t="s">
        <v>148</v>
      </c>
      <c r="C60" s="43"/>
      <c r="D60" s="44">
        <v>230</v>
      </c>
      <c r="E60" s="33"/>
      <c r="F60" s="76">
        <f>D60</f>
        <v>230</v>
      </c>
      <c r="G60" s="76">
        <f>F60</f>
        <v>230</v>
      </c>
      <c r="H60" s="76">
        <f>G60</f>
        <v>230</v>
      </c>
      <c r="I60" s="16">
        <v>0</v>
      </c>
      <c r="J60" s="1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f>2.94+41.06</f>
        <v>44</v>
      </c>
      <c r="S60" s="42">
        <v>3.07</v>
      </c>
      <c r="T60" s="42">
        <v>0</v>
      </c>
      <c r="U60" s="102">
        <v>0</v>
      </c>
      <c r="V60" s="58">
        <f>G60-U60</f>
        <v>230</v>
      </c>
      <c r="W60" s="48">
        <f>U60/G60</f>
        <v>0</v>
      </c>
    </row>
    <row r="61" spans="1:23" ht="15.75" thickBot="1" x14ac:dyDescent="0.3">
      <c r="A61" s="15"/>
      <c r="B61" s="15"/>
      <c r="C61" s="45"/>
      <c r="D61" s="42"/>
      <c r="E61" s="18"/>
      <c r="F61" s="78">
        <f t="shared" ref="F61:V61" si="37">SUM(F60:F60)</f>
        <v>230</v>
      </c>
      <c r="G61" s="78">
        <f t="shared" si="37"/>
        <v>230</v>
      </c>
      <c r="H61" s="78">
        <f t="shared" si="37"/>
        <v>230</v>
      </c>
      <c r="I61" s="19">
        <f t="shared" si="37"/>
        <v>0</v>
      </c>
      <c r="J61" s="19">
        <f t="shared" si="37"/>
        <v>0</v>
      </c>
      <c r="K61" s="19">
        <f t="shared" si="37"/>
        <v>0</v>
      </c>
      <c r="L61" s="19">
        <f t="shared" si="37"/>
        <v>0</v>
      </c>
      <c r="M61" s="19">
        <f t="shared" si="37"/>
        <v>0</v>
      </c>
      <c r="N61" s="19">
        <f t="shared" si="37"/>
        <v>0</v>
      </c>
      <c r="O61" s="19">
        <f t="shared" si="37"/>
        <v>0</v>
      </c>
      <c r="P61" s="19">
        <f t="shared" si="37"/>
        <v>0</v>
      </c>
      <c r="Q61" s="19">
        <f t="shared" si="37"/>
        <v>0</v>
      </c>
      <c r="R61" s="19">
        <f t="shared" si="37"/>
        <v>44</v>
      </c>
      <c r="S61" s="19">
        <f t="shared" si="37"/>
        <v>3.07</v>
      </c>
      <c r="T61" s="19">
        <f t="shared" si="37"/>
        <v>0</v>
      </c>
      <c r="U61" s="66">
        <f t="shared" si="37"/>
        <v>0</v>
      </c>
      <c r="V61" s="59">
        <f t="shared" si="37"/>
        <v>230</v>
      </c>
      <c r="W61" s="101">
        <f>U61/G61</f>
        <v>0</v>
      </c>
    </row>
    <row r="62" spans="1:23" ht="15.75" thickTop="1" x14ac:dyDescent="0.25">
      <c r="A62" s="93"/>
      <c r="B62" s="93"/>
      <c r="C62" s="94"/>
      <c r="D62" s="95"/>
      <c r="E62" s="17"/>
      <c r="F62" s="96"/>
      <c r="G62" s="96"/>
      <c r="H62" s="9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9"/>
      <c r="W62" s="100"/>
    </row>
    <row r="63" spans="1:23" ht="15.75" thickBot="1" x14ac:dyDescent="0.3">
      <c r="A63" s="23"/>
      <c r="B63" s="2" t="s">
        <v>109</v>
      </c>
      <c r="C63" s="46">
        <f>C13+C24+C27+C33+C37+C41+C45+C51+C56+C59</f>
        <v>7832.68</v>
      </c>
      <c r="F63" s="83">
        <f>F23+F26+F32+F36+F40+F44+F50+F55+F58+F61</f>
        <v>7832.68</v>
      </c>
      <c r="G63" s="83">
        <f>G23+G26+G32+G36+G40+G44+G50+G55+G58+G61</f>
        <v>7832.68</v>
      </c>
      <c r="H63" s="83" t="e">
        <f>H23+H26+H32+H36+H40+H44+H50+H55+#REF!+H61</f>
        <v>#REF!</v>
      </c>
      <c r="I63" s="83" t="e">
        <f>I23+I26+I32+I36+I40+I44+I50+I55+#REF!+I61</f>
        <v>#REF!</v>
      </c>
      <c r="J63" s="83" t="e">
        <f>J23+J26+J32+J36+J40+J44+J50+J55+#REF!+J61</f>
        <v>#REF!</v>
      </c>
      <c r="K63" s="83" t="e">
        <f>K23+K26+K32+K36+K40+K44+K50+K55+#REF!+K61</f>
        <v>#REF!</v>
      </c>
      <c r="L63" s="83" t="e">
        <f>L23+L26+L32+L36+L40+L44+L50+L55+#REF!+L61</f>
        <v>#REF!</v>
      </c>
      <c r="M63" s="83" t="e">
        <f>M23+M26+M32+M36+M40+M44+M50+M55+#REF!+M61</f>
        <v>#REF!</v>
      </c>
      <c r="N63" s="83" t="e">
        <f>N23+N26+N32+N36+N40+N44+N50+N55+#REF!+N61</f>
        <v>#REF!</v>
      </c>
      <c r="O63" s="83" t="e">
        <f>O23+O26+O32+O36+O40+O44+O50+O55+#REF!+O61</f>
        <v>#REF!</v>
      </c>
      <c r="P63" s="83" t="e">
        <f>P23+P26+P32+P36+P40+P44+P50+P55+#REF!+P61</f>
        <v>#REF!</v>
      </c>
      <c r="Q63" s="83" t="e">
        <f>Q23+Q26+Q32+Q36+Q40+Q44+Q50+Q55+#REF!+Q61</f>
        <v>#REF!</v>
      </c>
      <c r="R63" s="50" t="e">
        <f>R23+R26+R32+R36+R40+R44+R50+R55+#REF!+R61</f>
        <v>#REF!</v>
      </c>
      <c r="S63" s="50" t="e">
        <f>S23+S26+S32+S36+S40+S44+S50+S55+#REF!+S61</f>
        <v>#REF!</v>
      </c>
      <c r="T63" s="50" t="e">
        <f>T23+T26+T32+T36+T40+T44+T50+T55+#REF!+T61</f>
        <v>#REF!</v>
      </c>
      <c r="U63" s="71">
        <f>U23+U26+U32+U36+U40+U44+U50+U55+U58+U61</f>
        <v>2079.09</v>
      </c>
      <c r="V63" s="62">
        <f>V23+V26+V32+V36+V40+V44+V50+V55+V58+V61</f>
        <v>5753.59</v>
      </c>
      <c r="W63" s="73">
        <f>U63/G63</f>
        <v>0.26543788332984369</v>
      </c>
    </row>
    <row r="64" spans="1:23" ht="15.75" thickTop="1" x14ac:dyDescent="0.25">
      <c r="A64" s="23"/>
      <c r="B64" s="23"/>
    </row>
    <row r="65" spans="1:22" x14ac:dyDescent="0.25">
      <c r="A65" s="23"/>
      <c r="B65" s="2"/>
      <c r="C65" s="30"/>
      <c r="U65" s="37"/>
    </row>
    <row r="66" spans="1:22" x14ac:dyDescent="0.25">
      <c r="A66" s="2" t="s">
        <v>177</v>
      </c>
      <c r="C66" s="30"/>
      <c r="U66" s="37"/>
      <c r="V66" s="37"/>
    </row>
    <row r="67" spans="1:22" x14ac:dyDescent="0.25">
      <c r="C67" s="30"/>
      <c r="U67" s="37"/>
    </row>
    <row r="68" spans="1:22" x14ac:dyDescent="0.25">
      <c r="B68" s="104" t="s">
        <v>178</v>
      </c>
      <c r="C68" s="30"/>
      <c r="F68" s="104">
        <v>12000</v>
      </c>
      <c r="U68" s="37">
        <v>0</v>
      </c>
      <c r="V68" s="104">
        <f>F68-U68</f>
        <v>12000</v>
      </c>
    </row>
    <row r="69" spans="1:22" x14ac:dyDescent="0.25">
      <c r="C69" s="30"/>
      <c r="F69" s="104"/>
      <c r="U69" s="37"/>
      <c r="V69" s="104"/>
    </row>
    <row r="70" spans="1:22" x14ac:dyDescent="0.25">
      <c r="B70" s="37" t="s">
        <v>180</v>
      </c>
      <c r="C70" s="30"/>
      <c r="F70" s="104">
        <v>450</v>
      </c>
      <c r="U70" s="37">
        <f>238.68+139.32</f>
        <v>378</v>
      </c>
      <c r="V70" s="104">
        <f t="shared" ref="V70:V74" si="38">F70-U70</f>
        <v>72</v>
      </c>
    </row>
    <row r="71" spans="1:22" x14ac:dyDescent="0.25">
      <c r="F71" s="104"/>
      <c r="U71" s="37"/>
      <c r="V71" s="104"/>
    </row>
    <row r="72" spans="1:22" x14ac:dyDescent="0.25">
      <c r="B72" s="37" t="s">
        <v>179</v>
      </c>
      <c r="F72" s="104">
        <v>200</v>
      </c>
      <c r="U72" s="37">
        <v>0</v>
      </c>
      <c r="V72" s="104">
        <f t="shared" si="38"/>
        <v>200</v>
      </c>
    </row>
    <row r="73" spans="1:22" x14ac:dyDescent="0.25">
      <c r="F73" s="104"/>
      <c r="U73" s="37"/>
      <c r="V73" s="104"/>
    </row>
    <row r="74" spans="1:22" x14ac:dyDescent="0.25">
      <c r="B74" s="37" t="s">
        <v>181</v>
      </c>
      <c r="F74" s="104">
        <v>112</v>
      </c>
      <c r="U74" s="37">
        <v>0</v>
      </c>
      <c r="V74" s="104">
        <f t="shared" si="38"/>
        <v>112</v>
      </c>
    </row>
    <row r="75" spans="1:22" x14ac:dyDescent="0.25">
      <c r="A75" s="53"/>
      <c r="B75" s="23"/>
    </row>
    <row r="76" spans="1:22" x14ac:dyDescent="0.25">
      <c r="A76" s="53"/>
      <c r="B76" s="23"/>
      <c r="C76" s="55"/>
    </row>
    <row r="77" spans="1:22" x14ac:dyDescent="0.25">
      <c r="A77" s="105" t="s">
        <v>182</v>
      </c>
      <c r="B77" s="52"/>
    </row>
    <row r="78" spans="1:22" x14ac:dyDescent="0.25">
      <c r="A78" s="53"/>
      <c r="B78" s="23" t="s">
        <v>183</v>
      </c>
      <c r="C78" s="37"/>
      <c r="U78">
        <v>6</v>
      </c>
    </row>
    <row r="79" spans="1:22" x14ac:dyDescent="0.25">
      <c r="A79" s="53"/>
      <c r="B79" s="23"/>
    </row>
    <row r="80" spans="1:22" x14ac:dyDescent="0.25">
      <c r="A80" s="53"/>
      <c r="B80" s="23"/>
      <c r="C80" s="37"/>
    </row>
    <row r="81" spans="1:5" x14ac:dyDescent="0.25">
      <c r="A81" s="53"/>
      <c r="B81" s="23"/>
      <c r="C81" s="37"/>
    </row>
    <row r="82" spans="1:5" x14ac:dyDescent="0.25">
      <c r="A82" s="53"/>
      <c r="B82" s="23"/>
      <c r="C82" s="37"/>
    </row>
    <row r="87" spans="1:5" x14ac:dyDescent="0.25">
      <c r="C87" s="37"/>
      <c r="E87" s="54"/>
    </row>
    <row r="88" spans="1:5" x14ac:dyDescent="0.25">
      <c r="C88" s="37"/>
      <c r="D88" s="37"/>
      <c r="E88" s="54"/>
    </row>
    <row r="89" spans="1:5" x14ac:dyDescent="0.25">
      <c r="C89" s="37"/>
      <c r="D89" s="37"/>
      <c r="E89" s="54"/>
    </row>
    <row r="90" spans="1:5" x14ac:dyDescent="0.25">
      <c r="E90" s="54"/>
    </row>
  </sheetData>
  <conditionalFormatting sqref="W14:W23 W25:W63">
    <cfRule type="cellIs" dxfId="2" priority="4" operator="greaterThan">
      <formula>0.42</formula>
    </cfRule>
  </conditionalFormatting>
  <conditionalFormatting sqref="W5:W7">
    <cfRule type="cellIs" dxfId="3" priority="2" operator="lessThan">
      <formula>1</formula>
    </cfRule>
  </conditionalFormatting>
  <pageMargins left="0.23622047244094491" right="0.23622047244094491" top="0.78740157480314965" bottom="0.39370078740157483" header="0.19685039370078741" footer="0.31496062992125984"/>
  <pageSetup scale="71" orientation="portrait" r:id="rId1"/>
  <headerFooter>
    <oddHeader xml:space="preserve">&amp;CSpelsbury Parish Council
Budget - 2020 Budget
Approved 05 November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workbookViewId="0">
      <selection activeCell="Q18" sqref="Q18"/>
    </sheetView>
  </sheetViews>
  <sheetFormatPr defaultRowHeight="15" x14ac:dyDescent="0.25"/>
  <sheetData>
    <row r="1" spans="1:17" x14ac:dyDescent="0.25">
      <c r="A1" t="s">
        <v>105</v>
      </c>
    </row>
    <row r="2" spans="1:17" x14ac:dyDescent="0.25">
      <c r="A2" t="s">
        <v>63</v>
      </c>
      <c r="D2" t="s">
        <v>98</v>
      </c>
    </row>
    <row r="3" spans="1:17" x14ac:dyDescent="0.25">
      <c r="G3" t="s">
        <v>0</v>
      </c>
      <c r="I3" s="4" t="s">
        <v>1</v>
      </c>
      <c r="L3" t="s">
        <v>35</v>
      </c>
      <c r="Q3" s="8" t="s">
        <v>1</v>
      </c>
    </row>
    <row r="4" spans="1:17" x14ac:dyDescent="0.25">
      <c r="A4" t="s">
        <v>2</v>
      </c>
      <c r="G4" t="s">
        <v>51</v>
      </c>
      <c r="I4" s="4" t="s">
        <v>66</v>
      </c>
      <c r="L4" t="s">
        <v>66</v>
      </c>
      <c r="N4" s="7" t="s">
        <v>94</v>
      </c>
      <c r="O4" s="7"/>
      <c r="Q4" s="8" t="s">
        <v>96</v>
      </c>
    </row>
    <row r="6" spans="1:17" x14ac:dyDescent="0.25">
      <c r="A6" t="s">
        <v>3</v>
      </c>
    </row>
    <row r="7" spans="1:17" x14ac:dyDescent="0.25">
      <c r="B7" t="s">
        <v>4</v>
      </c>
      <c r="G7">
        <v>504</v>
      </c>
      <c r="I7">
        <v>250</v>
      </c>
      <c r="J7" t="s">
        <v>67</v>
      </c>
      <c r="N7" s="7">
        <v>252</v>
      </c>
      <c r="Q7">
        <v>252</v>
      </c>
    </row>
    <row r="8" spans="1:17" x14ac:dyDescent="0.25">
      <c r="B8" t="s">
        <v>30</v>
      </c>
      <c r="G8">
        <v>64</v>
      </c>
      <c r="I8">
        <v>70</v>
      </c>
      <c r="N8" s="7">
        <v>33</v>
      </c>
      <c r="O8" t="s">
        <v>95</v>
      </c>
      <c r="Q8">
        <v>35</v>
      </c>
    </row>
    <row r="9" spans="1:17" x14ac:dyDescent="0.25">
      <c r="B9" t="s">
        <v>5</v>
      </c>
      <c r="C9" t="s">
        <v>80</v>
      </c>
      <c r="G9">
        <v>10</v>
      </c>
      <c r="I9">
        <v>10</v>
      </c>
      <c r="N9" s="7">
        <v>10</v>
      </c>
      <c r="Q9">
        <v>10</v>
      </c>
    </row>
    <row r="10" spans="1:17" x14ac:dyDescent="0.25">
      <c r="B10" t="s">
        <v>6</v>
      </c>
      <c r="G10">
        <v>0</v>
      </c>
      <c r="I10">
        <v>0</v>
      </c>
      <c r="N10" s="7">
        <v>0</v>
      </c>
      <c r="Q10">
        <v>0</v>
      </c>
    </row>
    <row r="11" spans="1:17" x14ac:dyDescent="0.25">
      <c r="B11" t="s">
        <v>7</v>
      </c>
      <c r="G11">
        <v>168</v>
      </c>
      <c r="I11">
        <v>168</v>
      </c>
      <c r="N11" s="7">
        <v>168</v>
      </c>
      <c r="Q11">
        <v>168</v>
      </c>
    </row>
    <row r="12" spans="1:17" x14ac:dyDescent="0.25">
      <c r="B12" t="s">
        <v>8</v>
      </c>
      <c r="D12" t="s">
        <v>78</v>
      </c>
      <c r="E12" t="s">
        <v>79</v>
      </c>
      <c r="G12">
        <v>150</v>
      </c>
      <c r="I12">
        <v>75</v>
      </c>
      <c r="N12" s="7">
        <v>0</v>
      </c>
      <c r="Q12" t="s">
        <v>69</v>
      </c>
    </row>
    <row r="13" spans="1:17" x14ac:dyDescent="0.25">
      <c r="A13" t="s">
        <v>9</v>
      </c>
      <c r="B13" t="s">
        <v>10</v>
      </c>
      <c r="E13" t="s">
        <v>64</v>
      </c>
      <c r="F13" t="s">
        <v>81</v>
      </c>
      <c r="G13">
        <v>500</v>
      </c>
      <c r="I13">
        <v>300</v>
      </c>
      <c r="J13" t="s">
        <v>68</v>
      </c>
      <c r="N13" s="7">
        <v>0</v>
      </c>
      <c r="Q13" t="s">
        <v>69</v>
      </c>
    </row>
    <row r="14" spans="1:17" x14ac:dyDescent="0.25">
      <c r="B14" t="s">
        <v>10</v>
      </c>
      <c r="G14">
        <v>0</v>
      </c>
      <c r="I14">
        <v>0</v>
      </c>
      <c r="L14">
        <v>0</v>
      </c>
      <c r="N14" s="7">
        <v>775</v>
      </c>
      <c r="O14" t="s">
        <v>82</v>
      </c>
      <c r="P14" t="s">
        <v>10</v>
      </c>
    </row>
    <row r="15" spans="1:17" x14ac:dyDescent="0.25">
      <c r="A15" t="s">
        <v>11</v>
      </c>
      <c r="G15">
        <v>18000</v>
      </c>
      <c r="I15">
        <v>18000</v>
      </c>
      <c r="L15">
        <v>18000</v>
      </c>
      <c r="N15" s="7">
        <v>18591</v>
      </c>
      <c r="Q15">
        <v>18900</v>
      </c>
    </row>
    <row r="16" spans="1:17" x14ac:dyDescent="0.25">
      <c r="A16" t="s">
        <v>21</v>
      </c>
      <c r="B16" t="s">
        <v>56</v>
      </c>
      <c r="G16">
        <v>100</v>
      </c>
      <c r="I16">
        <v>100</v>
      </c>
      <c r="L16">
        <v>100</v>
      </c>
      <c r="N16" s="7">
        <v>104</v>
      </c>
      <c r="Q16">
        <v>104</v>
      </c>
    </row>
    <row r="17" spans="1:17" ht="75" x14ac:dyDescent="0.25">
      <c r="A17" t="s">
        <v>12</v>
      </c>
      <c r="F17" s="3" t="s">
        <v>50</v>
      </c>
      <c r="G17" t="s">
        <v>65</v>
      </c>
      <c r="I17" s="3" t="s">
        <v>69</v>
      </c>
      <c r="K17" s="3" t="s">
        <v>36</v>
      </c>
      <c r="M17" s="3" t="s">
        <v>52</v>
      </c>
      <c r="N17" s="9" t="s">
        <v>83</v>
      </c>
      <c r="Q17" t="s">
        <v>97</v>
      </c>
    </row>
    <row r="18" spans="1:17" x14ac:dyDescent="0.25">
      <c r="A18" s="2" t="s">
        <v>13</v>
      </c>
      <c r="G18">
        <v>19496</v>
      </c>
      <c r="I18" s="4">
        <v>18973</v>
      </c>
      <c r="N18" s="7">
        <v>20323</v>
      </c>
      <c r="Q18" s="8">
        <v>19969</v>
      </c>
    </row>
    <row r="19" spans="1:17" x14ac:dyDescent="0.25">
      <c r="B19" t="s">
        <v>14</v>
      </c>
      <c r="G19">
        <v>1796</v>
      </c>
      <c r="I19" s="4">
        <v>1200</v>
      </c>
      <c r="N19" s="7">
        <v>2363</v>
      </c>
      <c r="Q19" s="8">
        <v>2500</v>
      </c>
    </row>
    <row r="20" spans="1:17" x14ac:dyDescent="0.25">
      <c r="A20" t="s">
        <v>13</v>
      </c>
      <c r="G20">
        <v>21292</v>
      </c>
      <c r="I20" s="4">
        <v>20173</v>
      </c>
      <c r="L20" s="1"/>
      <c r="N20" s="7">
        <v>22686</v>
      </c>
      <c r="Q20" s="8">
        <v>22469</v>
      </c>
    </row>
    <row r="22" spans="1:17" x14ac:dyDescent="0.25">
      <c r="A22" t="s">
        <v>15</v>
      </c>
    </row>
    <row r="23" spans="1:17" x14ac:dyDescent="0.25">
      <c r="A23" t="s">
        <v>3</v>
      </c>
    </row>
    <row r="24" spans="1:17" x14ac:dyDescent="0.25">
      <c r="B24" t="s">
        <v>4</v>
      </c>
      <c r="G24">
        <v>3195</v>
      </c>
      <c r="I24">
        <v>3300</v>
      </c>
      <c r="L24" s="7">
        <v>2276</v>
      </c>
      <c r="M24" t="s">
        <v>106</v>
      </c>
      <c r="Q24">
        <v>2500</v>
      </c>
    </row>
    <row r="25" spans="1:17" x14ac:dyDescent="0.25">
      <c r="B25" t="s">
        <v>58</v>
      </c>
      <c r="G25">
        <v>688</v>
      </c>
      <c r="I25">
        <v>400</v>
      </c>
      <c r="L25" s="7" t="s">
        <v>84</v>
      </c>
      <c r="M25" s="7">
        <v>1402</v>
      </c>
      <c r="N25" t="s">
        <v>85</v>
      </c>
      <c r="O25" t="s">
        <v>86</v>
      </c>
      <c r="Q25">
        <v>250</v>
      </c>
    </row>
    <row r="26" spans="1:17" x14ac:dyDescent="0.25">
      <c r="B26" t="s">
        <v>40</v>
      </c>
      <c r="E26" t="s">
        <v>53</v>
      </c>
      <c r="G26">
        <v>5746</v>
      </c>
      <c r="I26">
        <v>5700</v>
      </c>
      <c r="L26" s="7">
        <v>4787</v>
      </c>
      <c r="Q26">
        <v>5000</v>
      </c>
    </row>
    <row r="27" spans="1:17" x14ac:dyDescent="0.25">
      <c r="B27" t="s">
        <v>16</v>
      </c>
    </row>
    <row r="28" spans="1:17" x14ac:dyDescent="0.25">
      <c r="B28" t="s">
        <v>7</v>
      </c>
      <c r="G28">
        <v>168</v>
      </c>
      <c r="I28">
        <v>168</v>
      </c>
      <c r="L28" s="7">
        <v>168</v>
      </c>
      <c r="Q28">
        <v>168</v>
      </c>
    </row>
    <row r="29" spans="1:17" x14ac:dyDescent="0.25">
      <c r="B29" t="s">
        <v>17</v>
      </c>
      <c r="G29">
        <v>862</v>
      </c>
      <c r="I29">
        <v>862</v>
      </c>
      <c r="L29" s="7">
        <v>862</v>
      </c>
      <c r="Q29">
        <v>862</v>
      </c>
    </row>
    <row r="30" spans="1:17" x14ac:dyDescent="0.25">
      <c r="B30" t="s">
        <v>31</v>
      </c>
      <c r="G30">
        <v>270</v>
      </c>
      <c r="I30">
        <v>250</v>
      </c>
      <c r="L30" s="7">
        <v>0</v>
      </c>
      <c r="Q30" t="s">
        <v>69</v>
      </c>
    </row>
    <row r="31" spans="1:17" x14ac:dyDescent="0.25">
      <c r="B31" t="s">
        <v>32</v>
      </c>
      <c r="E31" t="s">
        <v>54</v>
      </c>
      <c r="G31">
        <v>243</v>
      </c>
      <c r="I31">
        <v>600</v>
      </c>
      <c r="J31" t="s">
        <v>75</v>
      </c>
      <c r="L31" s="7">
        <v>693</v>
      </c>
      <c r="M31" t="s">
        <v>88</v>
      </c>
      <c r="Q31" t="s">
        <v>69</v>
      </c>
    </row>
    <row r="32" spans="1:17" x14ac:dyDescent="0.25">
      <c r="B32" t="s">
        <v>18</v>
      </c>
      <c r="E32" t="s">
        <v>70</v>
      </c>
      <c r="G32">
        <v>479</v>
      </c>
      <c r="I32">
        <v>250</v>
      </c>
      <c r="J32" t="s">
        <v>76</v>
      </c>
      <c r="L32" s="7">
        <v>804</v>
      </c>
      <c r="M32" t="s">
        <v>87</v>
      </c>
      <c r="Q32">
        <v>500</v>
      </c>
    </row>
    <row r="33" spans="1:18" x14ac:dyDescent="0.25">
      <c r="B33" t="s">
        <v>91</v>
      </c>
      <c r="L33" s="7">
        <v>1960</v>
      </c>
      <c r="M33" t="s">
        <v>92</v>
      </c>
      <c r="Q33" t="s">
        <v>69</v>
      </c>
    </row>
    <row r="34" spans="1:18" x14ac:dyDescent="0.25">
      <c r="B34" t="s">
        <v>19</v>
      </c>
      <c r="G34">
        <v>0</v>
      </c>
      <c r="I34">
        <v>0</v>
      </c>
      <c r="L34" s="7">
        <v>124</v>
      </c>
      <c r="M34" t="s">
        <v>93</v>
      </c>
    </row>
    <row r="35" spans="1:18" x14ac:dyDescent="0.25">
      <c r="A35" t="s">
        <v>9</v>
      </c>
      <c r="B35" t="s">
        <v>20</v>
      </c>
      <c r="G35">
        <v>184</v>
      </c>
      <c r="I35">
        <v>100</v>
      </c>
      <c r="L35" s="7">
        <v>79</v>
      </c>
      <c r="Q35">
        <v>90</v>
      </c>
    </row>
    <row r="36" spans="1:18" x14ac:dyDescent="0.25">
      <c r="B36" t="s">
        <v>33</v>
      </c>
      <c r="E36" t="s">
        <v>71</v>
      </c>
      <c r="G36" s="1">
        <v>11837</v>
      </c>
      <c r="I36" s="1">
        <v>10000</v>
      </c>
      <c r="J36" t="s">
        <v>89</v>
      </c>
      <c r="L36" s="10">
        <v>9250</v>
      </c>
      <c r="M36" t="s">
        <v>90</v>
      </c>
      <c r="Q36" t="s">
        <v>69</v>
      </c>
    </row>
    <row r="37" spans="1:18" x14ac:dyDescent="0.25">
      <c r="B37" t="s">
        <v>41</v>
      </c>
      <c r="E37" t="s">
        <v>72</v>
      </c>
      <c r="G37">
        <v>2401</v>
      </c>
      <c r="I37">
        <v>2000</v>
      </c>
      <c r="L37" s="7">
        <v>2574</v>
      </c>
      <c r="Q37">
        <v>2500</v>
      </c>
    </row>
    <row r="39" spans="1:18" x14ac:dyDescent="0.25">
      <c r="A39" t="s">
        <v>57</v>
      </c>
      <c r="E39" t="s">
        <v>73</v>
      </c>
      <c r="G39">
        <v>1500</v>
      </c>
      <c r="J39" t="s">
        <v>69</v>
      </c>
      <c r="L39" s="7">
        <v>283</v>
      </c>
      <c r="M39" t="s">
        <v>108</v>
      </c>
      <c r="Q39" t="s">
        <v>69</v>
      </c>
    </row>
    <row r="40" spans="1:18" x14ac:dyDescent="0.25">
      <c r="A40" t="s">
        <v>59</v>
      </c>
      <c r="E40" t="s">
        <v>74</v>
      </c>
      <c r="G40">
        <v>656</v>
      </c>
      <c r="I40">
        <v>600</v>
      </c>
      <c r="L40" s="7">
        <v>510</v>
      </c>
      <c r="M40" t="s">
        <v>60</v>
      </c>
    </row>
    <row r="41" spans="1:18" x14ac:dyDescent="0.25">
      <c r="A41" t="s">
        <v>61</v>
      </c>
      <c r="G41">
        <v>2359</v>
      </c>
      <c r="I41" s="4">
        <v>2300</v>
      </c>
      <c r="J41" t="s">
        <v>69</v>
      </c>
      <c r="L41" s="7">
        <v>3136</v>
      </c>
      <c r="Q41" s="8">
        <v>3200</v>
      </c>
    </row>
    <row r="42" spans="1:18" x14ac:dyDescent="0.25">
      <c r="A42" t="s">
        <v>13</v>
      </c>
      <c r="G42">
        <v>30588</v>
      </c>
      <c r="I42" s="6">
        <v>26530</v>
      </c>
      <c r="L42" s="7">
        <v>29116</v>
      </c>
      <c r="Q42" s="8">
        <v>29000</v>
      </c>
    </row>
    <row r="43" spans="1:18" x14ac:dyDescent="0.25">
      <c r="K43" t="s">
        <v>107</v>
      </c>
    </row>
    <row r="44" spans="1:18" ht="45" x14ac:dyDescent="0.25">
      <c r="A44" s="5" t="s">
        <v>77</v>
      </c>
      <c r="B44" s="4" t="s">
        <v>34</v>
      </c>
      <c r="D44" s="4" t="s">
        <v>37</v>
      </c>
      <c r="E44" s="4"/>
      <c r="F44" s="4" t="s">
        <v>38</v>
      </c>
      <c r="G44" s="4"/>
      <c r="H44" s="4" t="s">
        <v>39</v>
      </c>
      <c r="K44" s="11" t="s">
        <v>99</v>
      </c>
      <c r="L44" s="8" t="s">
        <v>100</v>
      </c>
      <c r="M44" s="8"/>
      <c r="N44" s="8" t="s">
        <v>101</v>
      </c>
      <c r="O44" s="8"/>
      <c r="P44" s="8" t="s">
        <v>38</v>
      </c>
      <c r="Q44" s="8"/>
      <c r="R44" s="8" t="s">
        <v>39</v>
      </c>
    </row>
    <row r="45" spans="1:18" x14ac:dyDescent="0.25">
      <c r="A45" s="4" t="s">
        <v>66</v>
      </c>
      <c r="B45" s="4">
        <v>35003</v>
      </c>
      <c r="D45" s="4">
        <v>20173</v>
      </c>
      <c r="F45" s="4">
        <v>26530</v>
      </c>
      <c r="H45" s="6">
        <v>28646</v>
      </c>
      <c r="K45" s="8" t="s">
        <v>96</v>
      </c>
      <c r="L45" s="8">
        <v>27714</v>
      </c>
      <c r="N45" s="8">
        <v>22469</v>
      </c>
      <c r="P45" s="8">
        <v>29000</v>
      </c>
      <c r="R45" s="8">
        <v>21183</v>
      </c>
    </row>
    <row r="46" spans="1:18" x14ac:dyDescent="0.25">
      <c r="A46" t="s">
        <v>55</v>
      </c>
      <c r="K46" t="s">
        <v>102</v>
      </c>
    </row>
    <row r="49" spans="1:9" x14ac:dyDescent="0.25">
      <c r="A49" t="s">
        <v>104</v>
      </c>
      <c r="E49" t="s">
        <v>45</v>
      </c>
    </row>
    <row r="50" spans="1:9" x14ac:dyDescent="0.25">
      <c r="A50">
        <v>3670</v>
      </c>
      <c r="B50" t="s">
        <v>21</v>
      </c>
      <c r="E50">
        <v>280</v>
      </c>
      <c r="F50" t="s">
        <v>22</v>
      </c>
    </row>
    <row r="51" spans="1:9" x14ac:dyDescent="0.25">
      <c r="A51">
        <v>354</v>
      </c>
      <c r="B51" t="s">
        <v>23</v>
      </c>
      <c r="E51">
        <v>173</v>
      </c>
      <c r="F51" t="s">
        <v>24</v>
      </c>
    </row>
    <row r="52" spans="1:9" x14ac:dyDescent="0.25">
      <c r="E52">
        <v>3446</v>
      </c>
      <c r="F52" t="s">
        <v>25</v>
      </c>
      <c r="I52" t="s">
        <v>42</v>
      </c>
    </row>
    <row r="53" spans="1:9" x14ac:dyDescent="0.25">
      <c r="A53">
        <v>1200</v>
      </c>
      <c r="B53" t="s">
        <v>26</v>
      </c>
      <c r="E53">
        <v>1022</v>
      </c>
      <c r="F53" t="s">
        <v>27</v>
      </c>
      <c r="G53" t="s">
        <v>44</v>
      </c>
    </row>
    <row r="54" spans="1:9" x14ac:dyDescent="0.25">
      <c r="A54">
        <v>915</v>
      </c>
      <c r="B54" t="s">
        <v>28</v>
      </c>
      <c r="C54" t="s">
        <v>29</v>
      </c>
      <c r="E54">
        <v>202</v>
      </c>
      <c r="F54" t="s">
        <v>43</v>
      </c>
    </row>
    <row r="55" spans="1:9" x14ac:dyDescent="0.25">
      <c r="E55">
        <v>976</v>
      </c>
      <c r="F55" t="s">
        <v>17</v>
      </c>
    </row>
    <row r="56" spans="1:9" x14ac:dyDescent="0.25">
      <c r="E56">
        <v>1590</v>
      </c>
      <c r="F56" t="s">
        <v>62</v>
      </c>
    </row>
    <row r="57" spans="1:9" x14ac:dyDescent="0.25">
      <c r="A57" t="s">
        <v>46</v>
      </c>
    </row>
    <row r="58" spans="1:9" x14ac:dyDescent="0.25">
      <c r="A58" s="1" t="s">
        <v>48</v>
      </c>
      <c r="C58">
        <v>5913</v>
      </c>
      <c r="D58" t="s">
        <v>49</v>
      </c>
      <c r="E58" s="1">
        <v>4869.5200000000004</v>
      </c>
    </row>
    <row r="59" spans="1:9" x14ac:dyDescent="0.25">
      <c r="A59" t="s">
        <v>47</v>
      </c>
      <c r="C59">
        <v>0</v>
      </c>
    </row>
    <row r="60" spans="1:9" x14ac:dyDescent="0.25">
      <c r="B60" s="1"/>
      <c r="C60" s="1">
        <v>6139</v>
      </c>
    </row>
    <row r="61" spans="1:9" x14ac:dyDescent="0.25">
      <c r="A61" t="s">
        <v>103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clerk@spelsbury.org</cp:lastModifiedBy>
  <cp:lastPrinted>2021-05-13T22:01:04Z</cp:lastPrinted>
  <dcterms:created xsi:type="dcterms:W3CDTF">2015-04-29T11:07:53Z</dcterms:created>
  <dcterms:modified xsi:type="dcterms:W3CDTF">2021-09-02T19:23:33Z</dcterms:modified>
</cp:coreProperties>
</file>